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2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Jie\Documents\Soccer\Soccer_Interactive_Table_2020\uploads\"/>
    </mc:Choice>
  </mc:AlternateContent>
  <xr:revisionPtr revIDLastSave="0" documentId="13_ncr:1_{7AF1646D-6B65-4A60-8427-C7FABA8656B1}" xr6:coauthVersionLast="47" xr6:coauthVersionMax="47" xr10:uidLastSave="{00000000-0000-0000-0000-000000000000}"/>
  <bookViews>
    <workbookView xWindow="16410" yWindow="3705" windowWidth="35010" windowHeight="15345" xr2:uid="{00000000-000D-0000-FFFF-FFFF00000000}"/>
  </bookViews>
  <sheets>
    <sheet name="Dashboard" sheetId="22" r:id="rId1"/>
    <sheet name="League Table" sheetId="32" r:id="rId2"/>
    <sheet name="tableTmp" sheetId="30" state="veryHidden" r:id="rId3"/>
    <sheet name="Deduction" sheetId="26" r:id="rId4"/>
    <sheet name="fixtures" sheetId="3" r:id="rId5"/>
    <sheet name="Fixtures_by_Clubs" sheetId="8" r:id="rId6"/>
    <sheet name="Fixtures_by_Date" sheetId="12" r:id="rId7"/>
    <sheet name="fixtures_tmp" sheetId="45" state="veryHidden" r:id="rId8"/>
  </sheets>
  <definedNames>
    <definedName name="_xlnm._FilterDatabase" localSheetId="4" hidden="1">fixtures!$A$1:$AL$386</definedName>
    <definedName name="_xlnm._FilterDatabase" localSheetId="6" hidden="1">Fixtures_by_Date!$A$1:$M$564</definedName>
    <definedName name="HA_01">INDEX(tableTmp!$C$2:$C$22,MATCH('League Table'!$S$2,tableTmp!$B$2:$B$22,0))</definedName>
    <definedName name="HA_02">INDEX(tableTmp!$C$2:$C$22,MATCH('League Table'!$S$3,tableTmp!$B$2:$B$22,0))</definedName>
    <definedName name="HA_03">INDEX(tableTmp!$C$2:$C$22,MATCH('League Table'!$S$4,tableTmp!$B$2:$B$22,0))</definedName>
    <definedName name="HA_04">INDEX(tableTmp!$C$2:$C$22,MATCH('League Table'!$S$5,tableTmp!$B$2:$B$22,0))</definedName>
    <definedName name="HA_05">INDEX(tableTmp!$C$2:$C$22,MATCH('League Table'!$S$6,tableTmp!$B$2:$B$22,0))</definedName>
    <definedName name="HA_06">INDEX(tableTmp!$C$2:$C$22,MATCH('League Table'!$S$7,tableTmp!$B$2:$B$22,0))</definedName>
    <definedName name="HA_07">INDEX(tableTmp!$C$2:$C$22,MATCH('League Table'!$S$8,tableTmp!$B$2:$B$22,0))</definedName>
    <definedName name="HA_08">INDEX(tableTmp!$C$2:$C$22,MATCH('League Table'!$S$9,tableTmp!$B$2:$B$22,0))</definedName>
    <definedName name="HA_09">INDEX(tableTmp!$C$2:$C$22,MATCH('League Table'!$S$10,tableTmp!$B$2:$B$22,0))</definedName>
    <definedName name="HA_10">INDEX(tableTmp!$C$2:$C$22,MATCH('League Table'!$S$11,tableTmp!$B$2:$B$22,0))</definedName>
    <definedName name="HA_11">INDEX(tableTmp!$C$2:$C$22,MATCH('League Table'!$S$12,tableTmp!$B$2:$B$22,0))</definedName>
    <definedName name="HA_12">INDEX(tableTmp!$C$2:$C$22,MATCH('League Table'!$S$13,tableTmp!$B$2:$B$22,0))</definedName>
    <definedName name="HA_13">INDEX(tableTmp!$C$2:$C$22,MATCH('League Table'!$S$14,tableTmp!$B$2:$B$22,0))</definedName>
    <definedName name="HA_14">INDEX(tableTmp!$C$2:$C$22,MATCH('League Table'!$S$15,tableTmp!$B$2:$B$22,0))</definedName>
    <definedName name="HA_15">INDEX(tableTmp!$C$2:$C$22,MATCH('League Table'!$S$16,tableTmp!$B$2:$B$22,0))</definedName>
    <definedName name="HA_16">INDEX(tableTmp!$C$2:$C$22,MATCH('League Table'!$S$17,tableTmp!$B$2:$B$22,0))</definedName>
    <definedName name="HA_17">INDEX(tableTmp!$C$2:$C$22,MATCH('League Table'!$S$18,tableTmp!$B$2:$B$22,0))</definedName>
    <definedName name="HA_18">INDEX(tableTmp!$C$2:$C$22,MATCH('League Table'!$S$19,tableTmp!$B$2:$B$22,0))</definedName>
    <definedName name="HA_19">INDEX(tableTmp!$C$2:$C$22,MATCH('League Table'!$S$20,tableTmp!$B$2:$B$22,0))</definedName>
    <definedName name="HA_20">INDEX(tableTmp!$C$2:$C$22,MATCH('League Table'!$S$21,tableTmp!$B$2:$B$22,0))</definedName>
    <definedName name="_xlnm.Print_Area" localSheetId="5">Fixtures_by_Clubs!$A$1:$IF$62</definedName>
    <definedName name="_xlnm.Print_Area" localSheetId="6">Fixtures_by_Date!$A$1:$M$497</definedName>
    <definedName name="Query___fixtures" localSheetId="7" hidden="1">fixtures_tmp!$A$1:$V$381</definedName>
    <definedName name="T_01">INDEX(tableTmp!$C$2:$C$21,MATCH('League Table'!$B$2,tableTmp!$B$2:$B$21,0))</definedName>
    <definedName name="T_02">INDEX(tableTmp!$C$2:$C$21,MATCH('League Table'!$B$3,tableTmp!$B$2:$B$21,0))</definedName>
    <definedName name="T_03">INDEX(tableTmp!$C$2:$C$21,MATCH('League Table'!$B$4,tableTmp!$B$2:$B$21,0))</definedName>
    <definedName name="T_04">INDEX(tableTmp!$C$2:$C$21,MATCH('League Table'!$B$5,tableTmp!$B$2:$B$21,0))</definedName>
    <definedName name="T_05">INDEX(tableTmp!$C$2:$C$21,MATCH('League Table'!$B$6,tableTmp!$B$2:$B$21,0))</definedName>
    <definedName name="T_06">INDEX(tableTmp!$C$2:$C$21,MATCH('League Table'!$B$7,tableTmp!$B$2:$B$21,0))</definedName>
    <definedName name="T_07">INDEX(tableTmp!$C$2:$C$21,MATCH('League Table'!$B$8,tableTmp!$B$2:$B$21,0))</definedName>
    <definedName name="T_08">INDEX(tableTmp!$C$2:$C$21,MATCH('League Table'!$B$9,tableTmp!$B$2:$B$21,0))</definedName>
    <definedName name="T_09">INDEX(tableTmp!$C$2:$C$21,MATCH('League Table'!$B$10,tableTmp!$B$2:$B$21,0))</definedName>
    <definedName name="T_10">INDEX(tableTmp!$C$2:$C$21,MATCH('League Table'!$B$11,tableTmp!$B$2:$B$21,0))</definedName>
    <definedName name="T_11">INDEX(tableTmp!$C$2:$C$21,MATCH('League Table'!$B$12,tableTmp!$B$2:$B$21,0))</definedName>
    <definedName name="T_12">INDEX(tableTmp!$C$2:$C$21,MATCH('League Table'!$B$13,tableTmp!$B$2:$B$21,0))</definedName>
    <definedName name="T_13">INDEX(tableTmp!$C$2:$C$21,MATCH('League Table'!$B$14,tableTmp!$B$2:$B$21,0))</definedName>
    <definedName name="T_14">INDEX(tableTmp!$C$2:$C$21,MATCH('League Table'!$B$15,tableTmp!$B$2:$B$21,0))</definedName>
    <definedName name="T_15">INDEX(tableTmp!$C$2:$C$21,MATCH('League Table'!$B$16,tableTmp!$B$2:$B$21,0))</definedName>
    <definedName name="T_16">INDEX(tableTmp!$C$2:$C$21,MATCH('League Table'!$B$17,tableTmp!$B$2:$B$21,0))</definedName>
    <definedName name="T_17">INDEX(tableTmp!$C$2:$C$21,MATCH('League Table'!$B$18,tableTmp!$B$2:$B$21,0))</definedName>
    <definedName name="T_18">INDEX(tableTmp!$C$2:$C$21,MATCH('League Table'!$B$19,tableTmp!$B$2:$B$21,0))</definedName>
    <definedName name="T_19">INDEX(tableTmp!$C$2:$C$21,MATCH('League Table'!$B$20,tableTmp!$B$2:$B$21,0))</definedName>
    <definedName name="T_20">INDEX(tableTmp!$C$2:$C$21,MATCH('League Table'!$B$21,tableTmp!$B$2:$B$21,0))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05" i="12" l="1"/>
  <c r="E505" i="12"/>
  <c r="D505" i="12"/>
  <c r="F504" i="12"/>
  <c r="E504" i="12"/>
  <c r="D504" i="12"/>
  <c r="F503" i="12"/>
  <c r="E503" i="12"/>
  <c r="D503" i="12"/>
  <c r="F502" i="12"/>
  <c r="E502" i="12"/>
  <c r="D502" i="12"/>
  <c r="F501" i="12"/>
  <c r="E501" i="12"/>
  <c r="D501" i="12"/>
  <c r="F500" i="12"/>
  <c r="E500" i="12"/>
  <c r="D500" i="12"/>
  <c r="F499" i="12"/>
  <c r="E499" i="12"/>
  <c r="D499" i="12"/>
  <c r="F498" i="12"/>
  <c r="E498" i="12"/>
  <c r="D498" i="12"/>
  <c r="F497" i="12"/>
  <c r="E497" i="12"/>
  <c r="D497" i="12"/>
  <c r="F496" i="12"/>
  <c r="E496" i="12"/>
  <c r="D496" i="12"/>
  <c r="F492" i="12"/>
  <c r="E492" i="12"/>
  <c r="D492" i="12"/>
  <c r="F491" i="12"/>
  <c r="E491" i="12"/>
  <c r="D491" i="12"/>
  <c r="F490" i="12"/>
  <c r="E490" i="12"/>
  <c r="D490" i="12"/>
  <c r="F489" i="12"/>
  <c r="E489" i="12"/>
  <c r="D489" i="12"/>
  <c r="F488" i="12"/>
  <c r="E488" i="12"/>
  <c r="D488" i="12"/>
  <c r="F487" i="12"/>
  <c r="E487" i="12"/>
  <c r="D487" i="12"/>
  <c r="F486" i="12"/>
  <c r="E486" i="12"/>
  <c r="D486" i="12"/>
  <c r="F485" i="12"/>
  <c r="E485" i="12"/>
  <c r="D485" i="12"/>
  <c r="F484" i="12"/>
  <c r="E484" i="12"/>
  <c r="D484" i="12"/>
  <c r="F483" i="12"/>
  <c r="E483" i="12"/>
  <c r="D483" i="12"/>
  <c r="F479" i="12"/>
  <c r="E479" i="12"/>
  <c r="D479" i="12"/>
  <c r="F478" i="12"/>
  <c r="E478" i="12"/>
  <c r="D478" i="12"/>
  <c r="F477" i="12"/>
  <c r="E477" i="12"/>
  <c r="D477" i="12"/>
  <c r="F476" i="12"/>
  <c r="E476" i="12"/>
  <c r="D476" i="12"/>
  <c r="F475" i="12"/>
  <c r="E475" i="12"/>
  <c r="D475" i="12"/>
  <c r="F474" i="12"/>
  <c r="E474" i="12"/>
  <c r="D474" i="12"/>
  <c r="F473" i="12"/>
  <c r="E473" i="12"/>
  <c r="D473" i="12"/>
  <c r="F472" i="12"/>
  <c r="E472" i="12"/>
  <c r="D472" i="12"/>
  <c r="F471" i="12"/>
  <c r="E471" i="12"/>
  <c r="D471" i="12"/>
  <c r="F470" i="12"/>
  <c r="E470" i="12"/>
  <c r="D470" i="12"/>
  <c r="F466" i="12"/>
  <c r="E466" i="12"/>
  <c r="D466" i="12"/>
  <c r="F465" i="12"/>
  <c r="E465" i="12"/>
  <c r="D465" i="12"/>
  <c r="F464" i="12"/>
  <c r="E464" i="12"/>
  <c r="D464" i="12"/>
  <c r="F463" i="12"/>
  <c r="E463" i="12"/>
  <c r="D463" i="12"/>
  <c r="F462" i="12"/>
  <c r="E462" i="12"/>
  <c r="D462" i="12"/>
  <c r="F461" i="12"/>
  <c r="E461" i="12"/>
  <c r="D461" i="12"/>
  <c r="F460" i="12"/>
  <c r="E460" i="12"/>
  <c r="D460" i="12"/>
  <c r="F459" i="12"/>
  <c r="E459" i="12"/>
  <c r="D459" i="12"/>
  <c r="F458" i="12"/>
  <c r="E458" i="12"/>
  <c r="D458" i="12"/>
  <c r="F457" i="12"/>
  <c r="E457" i="12"/>
  <c r="D457" i="12"/>
  <c r="F453" i="12"/>
  <c r="E453" i="12"/>
  <c r="D453" i="12"/>
  <c r="F452" i="12"/>
  <c r="E452" i="12"/>
  <c r="D452" i="12"/>
  <c r="F451" i="12"/>
  <c r="E451" i="12"/>
  <c r="D451" i="12"/>
  <c r="F450" i="12"/>
  <c r="E450" i="12"/>
  <c r="D450" i="12"/>
  <c r="F449" i="12"/>
  <c r="E449" i="12"/>
  <c r="D449" i="12"/>
  <c r="F448" i="12"/>
  <c r="E448" i="12"/>
  <c r="D448" i="12"/>
  <c r="F447" i="12"/>
  <c r="E447" i="12"/>
  <c r="D447" i="12"/>
  <c r="F446" i="12"/>
  <c r="E446" i="12"/>
  <c r="D446" i="12"/>
  <c r="F445" i="12"/>
  <c r="E445" i="12"/>
  <c r="D445" i="12"/>
  <c r="F444" i="12"/>
  <c r="E444" i="12"/>
  <c r="D444" i="12"/>
  <c r="F440" i="12"/>
  <c r="E440" i="12"/>
  <c r="D440" i="12"/>
  <c r="F439" i="12"/>
  <c r="E439" i="12"/>
  <c r="D439" i="12"/>
  <c r="F438" i="12"/>
  <c r="E438" i="12"/>
  <c r="D438" i="12"/>
  <c r="F437" i="12"/>
  <c r="E437" i="12"/>
  <c r="D437" i="12"/>
  <c r="F436" i="12"/>
  <c r="E436" i="12"/>
  <c r="D436" i="12"/>
  <c r="F435" i="12"/>
  <c r="E435" i="12"/>
  <c r="D435" i="12"/>
  <c r="F434" i="12"/>
  <c r="E434" i="12"/>
  <c r="D434" i="12"/>
  <c r="F433" i="12"/>
  <c r="E433" i="12"/>
  <c r="D433" i="12"/>
  <c r="F432" i="12"/>
  <c r="E432" i="12"/>
  <c r="D432" i="12"/>
  <c r="F431" i="12"/>
  <c r="E431" i="12"/>
  <c r="D431" i="12"/>
  <c r="F427" i="12"/>
  <c r="E427" i="12"/>
  <c r="D427" i="12"/>
  <c r="F426" i="12"/>
  <c r="E426" i="12"/>
  <c r="D426" i="12"/>
  <c r="F425" i="12"/>
  <c r="E425" i="12"/>
  <c r="D425" i="12"/>
  <c r="F424" i="12"/>
  <c r="E424" i="12"/>
  <c r="D424" i="12"/>
  <c r="F423" i="12"/>
  <c r="E423" i="12"/>
  <c r="D423" i="12"/>
  <c r="F422" i="12"/>
  <c r="E422" i="12"/>
  <c r="D422" i="12"/>
  <c r="F421" i="12"/>
  <c r="E421" i="12"/>
  <c r="D421" i="12"/>
  <c r="F420" i="12"/>
  <c r="E420" i="12"/>
  <c r="D420" i="12"/>
  <c r="F419" i="12"/>
  <c r="E419" i="12"/>
  <c r="D419" i="12"/>
  <c r="F418" i="12"/>
  <c r="E418" i="12"/>
  <c r="D418" i="12"/>
  <c r="F414" i="12"/>
  <c r="E414" i="12"/>
  <c r="D414" i="12"/>
  <c r="F413" i="12"/>
  <c r="E413" i="12"/>
  <c r="D413" i="12"/>
  <c r="F412" i="12"/>
  <c r="E412" i="12"/>
  <c r="D412" i="12"/>
  <c r="F411" i="12"/>
  <c r="E411" i="12"/>
  <c r="D411" i="12"/>
  <c r="F410" i="12"/>
  <c r="E410" i="12"/>
  <c r="D410" i="12"/>
  <c r="F409" i="12"/>
  <c r="E409" i="12"/>
  <c r="D409" i="12"/>
  <c r="F408" i="12"/>
  <c r="E408" i="12"/>
  <c r="D408" i="12"/>
  <c r="F407" i="12"/>
  <c r="E407" i="12"/>
  <c r="D407" i="12"/>
  <c r="F406" i="12"/>
  <c r="E406" i="12"/>
  <c r="D406" i="12"/>
  <c r="F405" i="12"/>
  <c r="E405" i="12"/>
  <c r="D405" i="12"/>
  <c r="F401" i="12"/>
  <c r="E401" i="12"/>
  <c r="D401" i="12"/>
  <c r="F400" i="12"/>
  <c r="E400" i="12"/>
  <c r="D400" i="12"/>
  <c r="F399" i="12"/>
  <c r="E399" i="12"/>
  <c r="D399" i="12"/>
  <c r="F398" i="12"/>
  <c r="E398" i="12"/>
  <c r="D398" i="12"/>
  <c r="F397" i="12"/>
  <c r="E397" i="12"/>
  <c r="D397" i="12"/>
  <c r="F396" i="12"/>
  <c r="E396" i="12"/>
  <c r="D396" i="12"/>
  <c r="F395" i="12"/>
  <c r="E395" i="12"/>
  <c r="D395" i="12"/>
  <c r="F394" i="12"/>
  <c r="E394" i="12"/>
  <c r="D394" i="12"/>
  <c r="F393" i="12"/>
  <c r="E393" i="12"/>
  <c r="D393" i="12"/>
  <c r="F392" i="12"/>
  <c r="E392" i="12"/>
  <c r="D392" i="12"/>
  <c r="F388" i="12"/>
  <c r="E388" i="12"/>
  <c r="D388" i="12"/>
  <c r="F387" i="12"/>
  <c r="E387" i="12"/>
  <c r="D387" i="12"/>
  <c r="F386" i="12"/>
  <c r="E386" i="12"/>
  <c r="D386" i="12"/>
  <c r="F385" i="12"/>
  <c r="E385" i="12"/>
  <c r="D385" i="12"/>
  <c r="F384" i="12"/>
  <c r="E384" i="12"/>
  <c r="D384" i="12"/>
  <c r="F383" i="12"/>
  <c r="E383" i="12"/>
  <c r="D383" i="12"/>
  <c r="F382" i="12"/>
  <c r="E382" i="12"/>
  <c r="D382" i="12"/>
  <c r="F381" i="12"/>
  <c r="E381" i="12"/>
  <c r="D381" i="12"/>
  <c r="F380" i="12"/>
  <c r="E380" i="12"/>
  <c r="D380" i="12"/>
  <c r="F379" i="12"/>
  <c r="E379" i="12"/>
  <c r="D379" i="12"/>
  <c r="F375" i="12"/>
  <c r="E375" i="12"/>
  <c r="D375" i="12"/>
  <c r="F374" i="12"/>
  <c r="E374" i="12"/>
  <c r="D374" i="12"/>
  <c r="F373" i="12"/>
  <c r="E373" i="12"/>
  <c r="D373" i="12"/>
  <c r="F372" i="12"/>
  <c r="E372" i="12"/>
  <c r="D372" i="12"/>
  <c r="F371" i="12"/>
  <c r="E371" i="12"/>
  <c r="D371" i="12"/>
  <c r="F370" i="12"/>
  <c r="E370" i="12"/>
  <c r="D370" i="12"/>
  <c r="F369" i="12"/>
  <c r="E369" i="12"/>
  <c r="D369" i="12"/>
  <c r="F368" i="12"/>
  <c r="E368" i="12"/>
  <c r="D368" i="12"/>
  <c r="F367" i="12"/>
  <c r="E367" i="12"/>
  <c r="D367" i="12"/>
  <c r="F366" i="12"/>
  <c r="E366" i="12"/>
  <c r="D366" i="12"/>
  <c r="F362" i="12"/>
  <c r="E362" i="12"/>
  <c r="D362" i="12"/>
  <c r="F361" i="12"/>
  <c r="E361" i="12"/>
  <c r="D361" i="12"/>
  <c r="F360" i="12"/>
  <c r="E360" i="12"/>
  <c r="D360" i="12"/>
  <c r="F359" i="12"/>
  <c r="E359" i="12"/>
  <c r="D359" i="12"/>
  <c r="F358" i="12"/>
  <c r="E358" i="12"/>
  <c r="D358" i="12"/>
  <c r="F357" i="12"/>
  <c r="E357" i="12"/>
  <c r="D357" i="12"/>
  <c r="F356" i="12"/>
  <c r="E356" i="12"/>
  <c r="D356" i="12"/>
  <c r="F355" i="12"/>
  <c r="E355" i="12"/>
  <c r="D355" i="12"/>
  <c r="F354" i="12"/>
  <c r="E354" i="12"/>
  <c r="D354" i="12"/>
  <c r="F353" i="12"/>
  <c r="E353" i="12"/>
  <c r="D353" i="12"/>
  <c r="F349" i="12"/>
  <c r="E349" i="12"/>
  <c r="D349" i="12"/>
  <c r="F348" i="12"/>
  <c r="E348" i="12"/>
  <c r="D348" i="12"/>
  <c r="F347" i="12"/>
  <c r="E347" i="12"/>
  <c r="D347" i="12"/>
  <c r="F346" i="12"/>
  <c r="E346" i="12"/>
  <c r="D346" i="12"/>
  <c r="F345" i="12"/>
  <c r="E345" i="12"/>
  <c r="D345" i="12"/>
  <c r="F344" i="12"/>
  <c r="E344" i="12"/>
  <c r="D344" i="12"/>
  <c r="F343" i="12"/>
  <c r="E343" i="12"/>
  <c r="D343" i="12"/>
  <c r="F342" i="12"/>
  <c r="E342" i="12"/>
  <c r="D342" i="12"/>
  <c r="F341" i="12"/>
  <c r="E341" i="12"/>
  <c r="D341" i="12"/>
  <c r="F340" i="12"/>
  <c r="E340" i="12"/>
  <c r="D340" i="12"/>
  <c r="F336" i="12"/>
  <c r="E336" i="12"/>
  <c r="D336" i="12"/>
  <c r="F335" i="12"/>
  <c r="E335" i="12"/>
  <c r="D335" i="12"/>
  <c r="F334" i="12"/>
  <c r="E334" i="12"/>
  <c r="D334" i="12"/>
  <c r="F333" i="12"/>
  <c r="E333" i="12"/>
  <c r="D333" i="12"/>
  <c r="F332" i="12"/>
  <c r="E332" i="12"/>
  <c r="D332" i="12"/>
  <c r="F331" i="12"/>
  <c r="E331" i="12"/>
  <c r="D331" i="12"/>
  <c r="F330" i="12"/>
  <c r="E330" i="12"/>
  <c r="D330" i="12"/>
  <c r="F329" i="12"/>
  <c r="E329" i="12"/>
  <c r="D329" i="12"/>
  <c r="F328" i="12"/>
  <c r="E328" i="12"/>
  <c r="D328" i="12"/>
  <c r="F327" i="12"/>
  <c r="E327" i="12"/>
  <c r="D327" i="12"/>
  <c r="F323" i="12"/>
  <c r="E323" i="12"/>
  <c r="D323" i="12"/>
  <c r="F322" i="12"/>
  <c r="E322" i="12"/>
  <c r="D322" i="12"/>
  <c r="F321" i="12"/>
  <c r="E321" i="12"/>
  <c r="D321" i="12"/>
  <c r="F320" i="12"/>
  <c r="E320" i="12"/>
  <c r="D320" i="12"/>
  <c r="F319" i="12"/>
  <c r="E319" i="12"/>
  <c r="D319" i="12"/>
  <c r="F318" i="12"/>
  <c r="E318" i="12"/>
  <c r="D318" i="12"/>
  <c r="F317" i="12"/>
  <c r="E317" i="12"/>
  <c r="D317" i="12"/>
  <c r="F316" i="12"/>
  <c r="E316" i="12"/>
  <c r="D316" i="12"/>
  <c r="F315" i="12"/>
  <c r="E315" i="12"/>
  <c r="D315" i="12"/>
  <c r="F314" i="12"/>
  <c r="E314" i="12"/>
  <c r="D314" i="12"/>
  <c r="F310" i="12"/>
  <c r="E310" i="12"/>
  <c r="D310" i="12"/>
  <c r="F309" i="12"/>
  <c r="E309" i="12"/>
  <c r="D309" i="12"/>
  <c r="F308" i="12"/>
  <c r="E308" i="12"/>
  <c r="D308" i="12"/>
  <c r="F307" i="12"/>
  <c r="E307" i="12"/>
  <c r="D307" i="12"/>
  <c r="F306" i="12"/>
  <c r="E306" i="12"/>
  <c r="D306" i="12"/>
  <c r="F305" i="12"/>
  <c r="E305" i="12"/>
  <c r="D305" i="12"/>
  <c r="F304" i="12"/>
  <c r="E304" i="12"/>
  <c r="D304" i="12"/>
  <c r="F303" i="12"/>
  <c r="E303" i="12"/>
  <c r="D303" i="12"/>
  <c r="F302" i="12"/>
  <c r="E302" i="12"/>
  <c r="D302" i="12"/>
  <c r="F301" i="12"/>
  <c r="E301" i="12"/>
  <c r="D301" i="12"/>
  <c r="F297" i="12"/>
  <c r="E297" i="12"/>
  <c r="D297" i="12"/>
  <c r="F296" i="12"/>
  <c r="E296" i="12"/>
  <c r="D296" i="12"/>
  <c r="F295" i="12"/>
  <c r="E295" i="12"/>
  <c r="D295" i="12"/>
  <c r="F294" i="12"/>
  <c r="E294" i="12"/>
  <c r="D294" i="12"/>
  <c r="F293" i="12"/>
  <c r="E293" i="12"/>
  <c r="D293" i="12"/>
  <c r="F292" i="12"/>
  <c r="E292" i="12"/>
  <c r="D292" i="12"/>
  <c r="F291" i="12"/>
  <c r="E291" i="12"/>
  <c r="D291" i="12"/>
  <c r="F290" i="12"/>
  <c r="E290" i="12"/>
  <c r="D290" i="12"/>
  <c r="F289" i="12"/>
  <c r="E289" i="12"/>
  <c r="D289" i="12"/>
  <c r="F288" i="12"/>
  <c r="E288" i="12"/>
  <c r="D288" i="12"/>
  <c r="F284" i="12"/>
  <c r="E284" i="12"/>
  <c r="D284" i="12"/>
  <c r="F283" i="12"/>
  <c r="E283" i="12"/>
  <c r="D283" i="12"/>
  <c r="F282" i="12"/>
  <c r="E282" i="12"/>
  <c r="D282" i="12"/>
  <c r="F281" i="12"/>
  <c r="E281" i="12"/>
  <c r="D281" i="12"/>
  <c r="F280" i="12"/>
  <c r="E280" i="12"/>
  <c r="D280" i="12"/>
  <c r="F279" i="12"/>
  <c r="E279" i="12"/>
  <c r="D279" i="12"/>
  <c r="F278" i="12"/>
  <c r="E278" i="12"/>
  <c r="D278" i="12"/>
  <c r="F277" i="12"/>
  <c r="E277" i="12"/>
  <c r="D277" i="12"/>
  <c r="F276" i="12"/>
  <c r="E276" i="12"/>
  <c r="D276" i="12"/>
  <c r="F275" i="12"/>
  <c r="E275" i="12"/>
  <c r="D275" i="12"/>
  <c r="F271" i="12"/>
  <c r="E271" i="12"/>
  <c r="D271" i="12"/>
  <c r="F270" i="12"/>
  <c r="E270" i="12"/>
  <c r="D270" i="12"/>
  <c r="F269" i="12"/>
  <c r="E269" i="12"/>
  <c r="D269" i="12"/>
  <c r="F268" i="12"/>
  <c r="E268" i="12"/>
  <c r="D268" i="12"/>
  <c r="F267" i="12"/>
  <c r="E267" i="12"/>
  <c r="D267" i="12"/>
  <c r="F266" i="12"/>
  <c r="E266" i="12"/>
  <c r="D266" i="12"/>
  <c r="F265" i="12"/>
  <c r="E265" i="12"/>
  <c r="D265" i="12"/>
  <c r="F264" i="12"/>
  <c r="E264" i="12"/>
  <c r="D264" i="12"/>
  <c r="F263" i="12"/>
  <c r="E263" i="12"/>
  <c r="D263" i="12"/>
  <c r="F262" i="12"/>
  <c r="E262" i="12"/>
  <c r="D262" i="12"/>
  <c r="F258" i="12"/>
  <c r="E258" i="12"/>
  <c r="D258" i="12"/>
  <c r="F257" i="12"/>
  <c r="E257" i="12"/>
  <c r="D257" i="12"/>
  <c r="F256" i="12"/>
  <c r="E256" i="12"/>
  <c r="D256" i="12"/>
  <c r="F255" i="12"/>
  <c r="E255" i="12"/>
  <c r="D255" i="12"/>
  <c r="F254" i="12"/>
  <c r="E254" i="12"/>
  <c r="D254" i="12"/>
  <c r="F253" i="12"/>
  <c r="E253" i="12"/>
  <c r="D253" i="12"/>
  <c r="F252" i="12"/>
  <c r="E252" i="12"/>
  <c r="D252" i="12"/>
  <c r="F251" i="12"/>
  <c r="E251" i="12"/>
  <c r="D251" i="12"/>
  <c r="F250" i="12"/>
  <c r="E250" i="12"/>
  <c r="D250" i="12"/>
  <c r="F249" i="12"/>
  <c r="E249" i="12"/>
  <c r="D249" i="12"/>
  <c r="F245" i="12"/>
  <c r="E245" i="12"/>
  <c r="D245" i="12"/>
  <c r="F244" i="12"/>
  <c r="E244" i="12"/>
  <c r="D244" i="12"/>
  <c r="F243" i="12"/>
  <c r="E243" i="12"/>
  <c r="D243" i="12"/>
  <c r="F242" i="12"/>
  <c r="E242" i="12"/>
  <c r="D242" i="12"/>
  <c r="F241" i="12"/>
  <c r="E241" i="12"/>
  <c r="D241" i="12"/>
  <c r="F240" i="12"/>
  <c r="E240" i="12"/>
  <c r="D240" i="12"/>
  <c r="F239" i="12"/>
  <c r="E239" i="12"/>
  <c r="D239" i="12"/>
  <c r="F238" i="12"/>
  <c r="E238" i="12"/>
  <c r="D238" i="12"/>
  <c r="F237" i="12"/>
  <c r="E237" i="12"/>
  <c r="D237" i="12"/>
  <c r="F236" i="12"/>
  <c r="E236" i="12"/>
  <c r="D236" i="12"/>
  <c r="F232" i="12"/>
  <c r="E232" i="12"/>
  <c r="D232" i="12"/>
  <c r="F231" i="12"/>
  <c r="E231" i="12"/>
  <c r="D231" i="12"/>
  <c r="F230" i="12"/>
  <c r="E230" i="12"/>
  <c r="D230" i="12"/>
  <c r="F229" i="12"/>
  <c r="E229" i="12"/>
  <c r="D229" i="12"/>
  <c r="F228" i="12"/>
  <c r="E228" i="12"/>
  <c r="D228" i="12"/>
  <c r="F227" i="12"/>
  <c r="E227" i="12"/>
  <c r="D227" i="12"/>
  <c r="F226" i="12"/>
  <c r="E226" i="12"/>
  <c r="D226" i="12"/>
  <c r="F225" i="12"/>
  <c r="E225" i="12"/>
  <c r="D225" i="12"/>
  <c r="F224" i="12"/>
  <c r="E224" i="12"/>
  <c r="D224" i="12"/>
  <c r="F223" i="12"/>
  <c r="E223" i="12"/>
  <c r="D223" i="12"/>
  <c r="F219" i="12"/>
  <c r="E219" i="12"/>
  <c r="D219" i="12"/>
  <c r="F218" i="12"/>
  <c r="E218" i="12"/>
  <c r="D218" i="12"/>
  <c r="F217" i="12"/>
  <c r="E217" i="12"/>
  <c r="D217" i="12"/>
  <c r="F216" i="12"/>
  <c r="E216" i="12"/>
  <c r="D216" i="12"/>
  <c r="F215" i="12"/>
  <c r="E215" i="12"/>
  <c r="D215" i="12"/>
  <c r="F214" i="12"/>
  <c r="E214" i="12"/>
  <c r="D214" i="12"/>
  <c r="F213" i="12"/>
  <c r="E213" i="12"/>
  <c r="D213" i="12"/>
  <c r="F212" i="12"/>
  <c r="E212" i="12"/>
  <c r="D212" i="12"/>
  <c r="F211" i="12"/>
  <c r="E211" i="12"/>
  <c r="D211" i="12"/>
  <c r="F210" i="12"/>
  <c r="E210" i="12"/>
  <c r="D210" i="12"/>
  <c r="F206" i="12"/>
  <c r="E206" i="12"/>
  <c r="D206" i="12"/>
  <c r="F205" i="12"/>
  <c r="E205" i="12"/>
  <c r="D205" i="12"/>
  <c r="F204" i="12"/>
  <c r="E204" i="12"/>
  <c r="D204" i="12"/>
  <c r="F203" i="12"/>
  <c r="E203" i="12"/>
  <c r="D203" i="12"/>
  <c r="F202" i="12"/>
  <c r="E202" i="12"/>
  <c r="D202" i="12"/>
  <c r="F201" i="12"/>
  <c r="E201" i="12"/>
  <c r="D201" i="12"/>
  <c r="F200" i="12"/>
  <c r="E200" i="12"/>
  <c r="D200" i="12"/>
  <c r="F199" i="12"/>
  <c r="E199" i="12"/>
  <c r="D199" i="12"/>
  <c r="F198" i="12"/>
  <c r="E198" i="12"/>
  <c r="D198" i="12"/>
  <c r="F197" i="12"/>
  <c r="E197" i="12"/>
  <c r="D197" i="12"/>
  <c r="F193" i="12"/>
  <c r="E193" i="12"/>
  <c r="D193" i="12"/>
  <c r="F192" i="12"/>
  <c r="E192" i="12"/>
  <c r="D192" i="12"/>
  <c r="F191" i="12"/>
  <c r="E191" i="12"/>
  <c r="D191" i="12"/>
  <c r="F190" i="12"/>
  <c r="E190" i="12"/>
  <c r="D190" i="12"/>
  <c r="F189" i="12"/>
  <c r="E189" i="12"/>
  <c r="D189" i="12"/>
  <c r="F188" i="12"/>
  <c r="E188" i="12"/>
  <c r="D188" i="12"/>
  <c r="F187" i="12"/>
  <c r="E187" i="12"/>
  <c r="D187" i="12"/>
  <c r="F186" i="12"/>
  <c r="E186" i="12"/>
  <c r="D186" i="12"/>
  <c r="F185" i="12"/>
  <c r="E185" i="12"/>
  <c r="D185" i="12"/>
  <c r="F184" i="12"/>
  <c r="E184" i="12"/>
  <c r="D184" i="12"/>
  <c r="F180" i="12"/>
  <c r="E180" i="12"/>
  <c r="D180" i="12"/>
  <c r="F179" i="12"/>
  <c r="E179" i="12"/>
  <c r="D179" i="12"/>
  <c r="F178" i="12"/>
  <c r="E178" i="12"/>
  <c r="D178" i="12"/>
  <c r="F177" i="12"/>
  <c r="E177" i="12"/>
  <c r="D177" i="12"/>
  <c r="F176" i="12"/>
  <c r="E176" i="12"/>
  <c r="D176" i="12"/>
  <c r="F175" i="12"/>
  <c r="E175" i="12"/>
  <c r="D175" i="12"/>
  <c r="F174" i="12"/>
  <c r="E174" i="12"/>
  <c r="D174" i="12"/>
  <c r="F173" i="12"/>
  <c r="E173" i="12"/>
  <c r="D173" i="12"/>
  <c r="F172" i="12"/>
  <c r="E172" i="12"/>
  <c r="D172" i="12"/>
  <c r="F171" i="12"/>
  <c r="E171" i="12"/>
  <c r="D171" i="12"/>
  <c r="F167" i="12"/>
  <c r="E167" i="12"/>
  <c r="D167" i="12"/>
  <c r="F166" i="12"/>
  <c r="E166" i="12"/>
  <c r="D166" i="12"/>
  <c r="F165" i="12"/>
  <c r="E165" i="12"/>
  <c r="D165" i="12"/>
  <c r="F164" i="12"/>
  <c r="E164" i="12"/>
  <c r="D164" i="12"/>
  <c r="F163" i="12"/>
  <c r="E163" i="12"/>
  <c r="D163" i="12"/>
  <c r="F162" i="12"/>
  <c r="E162" i="12"/>
  <c r="D162" i="12"/>
  <c r="F161" i="12"/>
  <c r="E161" i="12"/>
  <c r="D161" i="12"/>
  <c r="F160" i="12"/>
  <c r="E160" i="12"/>
  <c r="D160" i="12"/>
  <c r="F159" i="12"/>
  <c r="E159" i="12"/>
  <c r="D159" i="12"/>
  <c r="F158" i="12"/>
  <c r="E158" i="12"/>
  <c r="D158" i="12"/>
  <c r="F154" i="12"/>
  <c r="E154" i="12"/>
  <c r="D154" i="12"/>
  <c r="F153" i="12"/>
  <c r="E153" i="12"/>
  <c r="D153" i="12"/>
  <c r="F152" i="12"/>
  <c r="E152" i="12"/>
  <c r="D152" i="12"/>
  <c r="F151" i="12"/>
  <c r="E151" i="12"/>
  <c r="D151" i="12"/>
  <c r="F150" i="12"/>
  <c r="E150" i="12"/>
  <c r="D150" i="12"/>
  <c r="F149" i="12"/>
  <c r="E149" i="12"/>
  <c r="D149" i="12"/>
  <c r="F148" i="12"/>
  <c r="E148" i="12"/>
  <c r="D148" i="12"/>
  <c r="F147" i="12"/>
  <c r="E147" i="12"/>
  <c r="D147" i="12"/>
  <c r="F146" i="12"/>
  <c r="E146" i="12"/>
  <c r="D146" i="12"/>
  <c r="F145" i="12"/>
  <c r="E145" i="12"/>
  <c r="D145" i="12"/>
  <c r="F141" i="12"/>
  <c r="E141" i="12"/>
  <c r="D141" i="12"/>
  <c r="F140" i="12"/>
  <c r="E140" i="12"/>
  <c r="D140" i="12"/>
  <c r="F139" i="12"/>
  <c r="E139" i="12"/>
  <c r="D139" i="12"/>
  <c r="F138" i="12"/>
  <c r="E138" i="12"/>
  <c r="D138" i="12"/>
  <c r="F137" i="12"/>
  <c r="E137" i="12"/>
  <c r="D137" i="12"/>
  <c r="F136" i="12"/>
  <c r="E136" i="12"/>
  <c r="D136" i="12"/>
  <c r="F135" i="12"/>
  <c r="E135" i="12"/>
  <c r="D135" i="12"/>
  <c r="F134" i="12"/>
  <c r="E134" i="12"/>
  <c r="D134" i="12"/>
  <c r="F133" i="12"/>
  <c r="E133" i="12"/>
  <c r="D133" i="12"/>
  <c r="F132" i="12"/>
  <c r="E132" i="12"/>
  <c r="D132" i="12"/>
  <c r="F128" i="12"/>
  <c r="E128" i="12"/>
  <c r="D128" i="12"/>
  <c r="F127" i="12"/>
  <c r="E127" i="12"/>
  <c r="D127" i="12"/>
  <c r="F126" i="12"/>
  <c r="E126" i="12"/>
  <c r="D126" i="12"/>
  <c r="F125" i="12"/>
  <c r="E125" i="12"/>
  <c r="D125" i="12"/>
  <c r="F124" i="12"/>
  <c r="E124" i="12"/>
  <c r="D124" i="12"/>
  <c r="F123" i="12"/>
  <c r="E123" i="12"/>
  <c r="D123" i="12"/>
  <c r="F122" i="12"/>
  <c r="E122" i="12"/>
  <c r="D122" i="12"/>
  <c r="F121" i="12"/>
  <c r="E121" i="12"/>
  <c r="D121" i="12"/>
  <c r="F120" i="12"/>
  <c r="E120" i="12"/>
  <c r="D120" i="12"/>
  <c r="F119" i="12"/>
  <c r="E119" i="12"/>
  <c r="D119" i="12"/>
  <c r="F115" i="12"/>
  <c r="E115" i="12"/>
  <c r="D115" i="12"/>
  <c r="F114" i="12"/>
  <c r="E114" i="12"/>
  <c r="D114" i="12"/>
  <c r="F113" i="12"/>
  <c r="E113" i="12"/>
  <c r="D113" i="12"/>
  <c r="F112" i="12"/>
  <c r="E112" i="12"/>
  <c r="D112" i="12"/>
  <c r="F111" i="12"/>
  <c r="E111" i="12"/>
  <c r="D111" i="12"/>
  <c r="F110" i="12"/>
  <c r="E110" i="12"/>
  <c r="D110" i="12"/>
  <c r="F109" i="12"/>
  <c r="E109" i="12"/>
  <c r="D109" i="12"/>
  <c r="F108" i="12"/>
  <c r="E108" i="12"/>
  <c r="D108" i="12"/>
  <c r="F107" i="12"/>
  <c r="E107" i="12"/>
  <c r="D107" i="12"/>
  <c r="F106" i="12"/>
  <c r="E106" i="12"/>
  <c r="D106" i="12"/>
  <c r="F102" i="12"/>
  <c r="E102" i="12"/>
  <c r="D102" i="12"/>
  <c r="F101" i="12"/>
  <c r="E101" i="12"/>
  <c r="D101" i="12"/>
  <c r="F100" i="12"/>
  <c r="E100" i="12"/>
  <c r="D100" i="12"/>
  <c r="F99" i="12"/>
  <c r="E99" i="12"/>
  <c r="D99" i="12"/>
  <c r="F98" i="12"/>
  <c r="E98" i="12"/>
  <c r="D98" i="12"/>
  <c r="F97" i="12"/>
  <c r="E97" i="12"/>
  <c r="D97" i="12"/>
  <c r="F96" i="12"/>
  <c r="E96" i="12"/>
  <c r="D96" i="12"/>
  <c r="F95" i="12"/>
  <c r="E95" i="12"/>
  <c r="D95" i="12"/>
  <c r="F94" i="12"/>
  <c r="E94" i="12"/>
  <c r="D94" i="12"/>
  <c r="F93" i="12"/>
  <c r="E93" i="12"/>
  <c r="D93" i="12"/>
  <c r="F89" i="12"/>
  <c r="E89" i="12"/>
  <c r="D89" i="12"/>
  <c r="F87" i="12"/>
  <c r="E87" i="12"/>
  <c r="D87" i="12"/>
  <c r="F86" i="12"/>
  <c r="E86" i="12"/>
  <c r="D86" i="12"/>
  <c r="F84" i="12"/>
  <c r="E84" i="12"/>
  <c r="D84" i="12"/>
  <c r="F83" i="12"/>
  <c r="E83" i="12"/>
  <c r="D83" i="12"/>
  <c r="F82" i="12"/>
  <c r="E82" i="12"/>
  <c r="D82" i="12"/>
  <c r="F81" i="12"/>
  <c r="E81" i="12"/>
  <c r="D81" i="12"/>
  <c r="F80" i="12"/>
  <c r="E80" i="12"/>
  <c r="D80" i="12"/>
  <c r="F79" i="12"/>
  <c r="E79" i="12"/>
  <c r="D79" i="12"/>
  <c r="F78" i="12"/>
  <c r="E78" i="12"/>
  <c r="D78" i="12"/>
  <c r="F74" i="12"/>
  <c r="E74" i="12"/>
  <c r="D74" i="12"/>
  <c r="F73" i="12"/>
  <c r="E73" i="12"/>
  <c r="D73" i="12"/>
  <c r="F71" i="12"/>
  <c r="E71" i="12"/>
  <c r="D71" i="12"/>
  <c r="F70" i="12"/>
  <c r="E70" i="12"/>
  <c r="D70" i="12"/>
  <c r="F69" i="12"/>
  <c r="E69" i="12"/>
  <c r="D69" i="12"/>
  <c r="F68" i="12"/>
  <c r="E68" i="12"/>
  <c r="D68" i="12"/>
  <c r="F67" i="12"/>
  <c r="E67" i="12"/>
  <c r="D67" i="12"/>
  <c r="F66" i="12"/>
  <c r="E66" i="12"/>
  <c r="D66" i="12"/>
  <c r="F65" i="12"/>
  <c r="E65" i="12"/>
  <c r="D65" i="12"/>
  <c r="F64" i="12"/>
  <c r="E64" i="12"/>
  <c r="D64" i="12"/>
  <c r="F60" i="12"/>
  <c r="E60" i="12"/>
  <c r="D60" i="12"/>
  <c r="F59" i="12"/>
  <c r="E59" i="12"/>
  <c r="D59" i="12"/>
  <c r="F57" i="12"/>
  <c r="E57" i="12"/>
  <c r="D57" i="12"/>
  <c r="F56" i="12"/>
  <c r="E56" i="12"/>
  <c r="D56" i="12"/>
  <c r="F55" i="12"/>
  <c r="E55" i="12"/>
  <c r="D55" i="12"/>
  <c r="F54" i="12"/>
  <c r="E54" i="12"/>
  <c r="D54" i="12"/>
  <c r="F53" i="12"/>
  <c r="E53" i="12"/>
  <c r="D53" i="12"/>
  <c r="F52" i="12"/>
  <c r="E52" i="12"/>
  <c r="D52" i="12"/>
  <c r="F51" i="12"/>
  <c r="E51" i="12"/>
  <c r="D51" i="12"/>
  <c r="F50" i="12"/>
  <c r="E50" i="12"/>
  <c r="D50" i="12"/>
  <c r="F46" i="12"/>
  <c r="E46" i="12"/>
  <c r="D46" i="12"/>
  <c r="F45" i="12"/>
  <c r="E45" i="12"/>
  <c r="D45" i="12"/>
  <c r="F44" i="12"/>
  <c r="E44" i="12"/>
  <c r="D44" i="12"/>
  <c r="F42" i="12"/>
  <c r="E42" i="12"/>
  <c r="D42" i="12"/>
  <c r="F41" i="12"/>
  <c r="E41" i="12"/>
  <c r="D41" i="12"/>
  <c r="F40" i="12"/>
  <c r="E40" i="12"/>
  <c r="D40" i="12"/>
  <c r="F39" i="12"/>
  <c r="E39" i="12"/>
  <c r="D39" i="12"/>
  <c r="F38" i="12"/>
  <c r="E38" i="12"/>
  <c r="D38" i="12"/>
  <c r="F37" i="12"/>
  <c r="E37" i="12"/>
  <c r="D37" i="12"/>
  <c r="F35" i="12"/>
  <c r="E35" i="12"/>
  <c r="D35" i="12"/>
  <c r="F31" i="12"/>
  <c r="E31" i="12"/>
  <c r="D31" i="12"/>
  <c r="F29" i="12"/>
  <c r="E29" i="12"/>
  <c r="D29" i="12"/>
  <c r="F28" i="12"/>
  <c r="E28" i="12"/>
  <c r="D28" i="12"/>
  <c r="F27" i="12"/>
  <c r="E27" i="12"/>
  <c r="D27" i="12"/>
  <c r="F25" i="12"/>
  <c r="E25" i="12"/>
  <c r="D25" i="12"/>
  <c r="F24" i="12"/>
  <c r="E24" i="12"/>
  <c r="D24" i="12"/>
  <c r="F23" i="12"/>
  <c r="E23" i="12"/>
  <c r="D23" i="12"/>
  <c r="F22" i="12"/>
  <c r="E22" i="12"/>
  <c r="D22" i="12"/>
  <c r="F21" i="12"/>
  <c r="E21" i="12"/>
  <c r="D21" i="12"/>
  <c r="F19" i="12"/>
  <c r="E19" i="12"/>
  <c r="D19" i="12"/>
  <c r="F15" i="12"/>
  <c r="E15" i="12"/>
  <c r="D15" i="12"/>
  <c r="F13" i="12"/>
  <c r="E13" i="12"/>
  <c r="D13" i="12"/>
  <c r="F12" i="12"/>
  <c r="E12" i="12"/>
  <c r="D12" i="12"/>
  <c r="F11" i="12"/>
  <c r="E11" i="12"/>
  <c r="D11" i="12"/>
  <c r="F9" i="12"/>
  <c r="E9" i="12"/>
  <c r="D9" i="12"/>
  <c r="F8" i="12"/>
  <c r="E8" i="12"/>
  <c r="D8" i="12"/>
  <c r="F7" i="12"/>
  <c r="E7" i="12"/>
  <c r="D7" i="12"/>
  <c r="F6" i="12"/>
  <c r="E6" i="12"/>
  <c r="D6" i="12"/>
  <c r="F5" i="12"/>
  <c r="E5" i="12"/>
  <c r="D5" i="12"/>
  <c r="F3" i="12"/>
  <c r="E3" i="12"/>
  <c r="D3" i="12"/>
  <c r="HX61" i="8"/>
  <c r="HV61" i="8"/>
  <c r="HU61" i="8"/>
  <c r="ID49" i="8"/>
  <c r="IB49" i="8"/>
  <c r="IC49" i="8"/>
  <c r="IA49" i="8"/>
  <c r="ID48" i="8"/>
  <c r="IB48" i="8"/>
  <c r="IC48" i="8"/>
  <c r="IA48" i="8"/>
  <c r="ID47" i="8"/>
  <c r="IB47" i="8"/>
  <c r="IC47" i="8"/>
  <c r="IA47" i="8"/>
  <c r="ID46" i="8"/>
  <c r="IB46" i="8"/>
  <c r="IC46" i="8"/>
  <c r="IA46" i="8"/>
  <c r="ID44" i="8"/>
  <c r="IB44" i="8"/>
  <c r="IC44" i="8"/>
  <c r="IA44" i="8"/>
  <c r="ID43" i="8"/>
  <c r="IB43" i="8"/>
  <c r="IC43" i="8"/>
  <c r="IA43" i="8"/>
  <c r="ID42" i="8"/>
  <c r="IB42" i="8"/>
  <c r="IC42" i="8"/>
  <c r="IA42" i="8"/>
  <c r="ID40" i="8"/>
  <c r="IB40" i="8"/>
  <c r="IC40" i="8"/>
  <c r="IA40" i="8"/>
  <c r="ID39" i="8"/>
  <c r="IB39" i="8"/>
  <c r="IC39" i="8"/>
  <c r="IA39" i="8"/>
  <c r="ID38" i="8"/>
  <c r="IB38" i="8"/>
  <c r="IC38" i="8"/>
  <c r="IA38" i="8"/>
  <c r="ID36" i="8"/>
  <c r="IB36" i="8"/>
  <c r="IC36" i="8"/>
  <c r="IA36" i="8"/>
  <c r="ID35" i="8"/>
  <c r="IB35" i="8"/>
  <c r="IC35" i="8"/>
  <c r="IA35" i="8"/>
  <c r="ID34" i="8"/>
  <c r="IB34" i="8"/>
  <c r="IC34" i="8"/>
  <c r="IA34" i="8"/>
  <c r="ID33" i="8"/>
  <c r="IB33" i="8"/>
  <c r="IC33" i="8"/>
  <c r="IA33" i="8"/>
  <c r="ID31" i="8"/>
  <c r="IB31" i="8"/>
  <c r="IC31" i="8"/>
  <c r="IA31" i="8"/>
  <c r="ID30" i="8"/>
  <c r="IB30" i="8"/>
  <c r="IC30" i="8"/>
  <c r="IA30" i="8"/>
  <c r="ID29" i="8"/>
  <c r="IB29" i="8"/>
  <c r="IC29" i="8"/>
  <c r="IA29" i="8"/>
  <c r="ID28" i="8"/>
  <c r="IB28" i="8"/>
  <c r="IC28" i="8"/>
  <c r="IA28" i="8"/>
  <c r="ID27" i="8"/>
  <c r="IB27" i="8"/>
  <c r="IC27" i="8"/>
  <c r="IA27" i="8"/>
  <c r="ID25" i="8"/>
  <c r="IB25" i="8"/>
  <c r="IC25" i="8"/>
  <c r="IA25" i="8"/>
  <c r="ID24" i="8"/>
  <c r="IB24" i="8"/>
  <c r="IC24" i="8"/>
  <c r="IA24" i="8"/>
  <c r="ID23" i="8"/>
  <c r="IB23" i="8"/>
  <c r="IC23" i="8"/>
  <c r="IA23" i="8"/>
  <c r="ID22" i="8"/>
  <c r="IB22" i="8"/>
  <c r="IC22" i="8"/>
  <c r="IA22" i="8"/>
  <c r="ID21" i="8"/>
  <c r="IB21" i="8"/>
  <c r="IC21" i="8"/>
  <c r="IA21" i="8"/>
  <c r="ID20" i="8"/>
  <c r="IB20" i="8"/>
  <c r="IC20" i="8"/>
  <c r="IA20" i="8"/>
  <c r="ID18" i="8"/>
  <c r="IB18" i="8"/>
  <c r="IC18" i="8"/>
  <c r="IA18" i="8"/>
  <c r="ID17" i="8"/>
  <c r="IB17" i="8"/>
  <c r="IC17" i="8"/>
  <c r="IA17" i="8"/>
  <c r="ID16" i="8"/>
  <c r="IB16" i="8"/>
  <c r="IC16" i="8"/>
  <c r="IA16" i="8"/>
  <c r="ID15" i="8"/>
  <c r="IB15" i="8"/>
  <c r="IC15" i="8"/>
  <c r="IA15" i="8"/>
  <c r="HY53" i="8" s="1"/>
  <c r="S21" i="30" s="1"/>
  <c r="ID13" i="8"/>
  <c r="IB13" i="8"/>
  <c r="IC13" i="8"/>
  <c r="IA13" i="8"/>
  <c r="ID12" i="8"/>
  <c r="IB12" i="8"/>
  <c r="IC12" i="8"/>
  <c r="IA12" i="8"/>
  <c r="ID11" i="8"/>
  <c r="IB11" i="8"/>
  <c r="IC11" i="8"/>
  <c r="IA11" i="8"/>
  <c r="ID9" i="8"/>
  <c r="IB9" i="8"/>
  <c r="IC9" i="8"/>
  <c r="IA9" i="8"/>
  <c r="ID8" i="8"/>
  <c r="IB8" i="8"/>
  <c r="IC8" i="8"/>
  <c r="IA8" i="8"/>
  <c r="ID7" i="8"/>
  <c r="IB7" i="8"/>
  <c r="IC7" i="8"/>
  <c r="IA7" i="8"/>
  <c r="ID5" i="8"/>
  <c r="IB5" i="8"/>
  <c r="IC5" i="8"/>
  <c r="IA5" i="8"/>
  <c r="ID4" i="8"/>
  <c r="IB4" i="8"/>
  <c r="IC4" i="8"/>
  <c r="IA4" i="8"/>
  <c r="ID3" i="8"/>
  <c r="IB3" i="8"/>
  <c r="IC3" i="8"/>
  <c r="IA3" i="8"/>
  <c r="HL61" i="8"/>
  <c r="HJ61" i="8"/>
  <c r="HI61" i="8"/>
  <c r="HR49" i="8"/>
  <c r="HP49" i="8"/>
  <c r="HQ49" i="8"/>
  <c r="HO49" i="8"/>
  <c r="HR48" i="8"/>
  <c r="HP48" i="8"/>
  <c r="HQ48" i="8"/>
  <c r="HO48" i="8"/>
  <c r="HR47" i="8"/>
  <c r="HP47" i="8"/>
  <c r="HQ47" i="8"/>
  <c r="HO47" i="8"/>
  <c r="HR46" i="8"/>
  <c r="HP46" i="8"/>
  <c r="HQ46" i="8"/>
  <c r="HO46" i="8"/>
  <c r="HR44" i="8"/>
  <c r="HP44" i="8"/>
  <c r="HQ44" i="8"/>
  <c r="HO44" i="8"/>
  <c r="HR43" i="8"/>
  <c r="HP43" i="8"/>
  <c r="HQ43" i="8"/>
  <c r="HO43" i="8"/>
  <c r="HR42" i="8"/>
  <c r="HP42" i="8"/>
  <c r="HQ42" i="8"/>
  <c r="HO42" i="8"/>
  <c r="HR40" i="8"/>
  <c r="HP40" i="8"/>
  <c r="HQ40" i="8"/>
  <c r="HO40" i="8"/>
  <c r="HR39" i="8"/>
  <c r="HP39" i="8"/>
  <c r="HQ39" i="8"/>
  <c r="HO39" i="8"/>
  <c r="HR38" i="8"/>
  <c r="HP38" i="8"/>
  <c r="HQ38" i="8"/>
  <c r="HO38" i="8"/>
  <c r="HR36" i="8"/>
  <c r="HP36" i="8"/>
  <c r="HQ36" i="8"/>
  <c r="HO36" i="8"/>
  <c r="HR35" i="8"/>
  <c r="HP35" i="8"/>
  <c r="HQ35" i="8"/>
  <c r="HO35" i="8"/>
  <c r="HR34" i="8"/>
  <c r="HP34" i="8"/>
  <c r="HQ34" i="8"/>
  <c r="HO34" i="8"/>
  <c r="HR33" i="8"/>
  <c r="HP33" i="8"/>
  <c r="HQ33" i="8"/>
  <c r="HO33" i="8"/>
  <c r="HR31" i="8"/>
  <c r="HP31" i="8"/>
  <c r="HQ31" i="8"/>
  <c r="HO31" i="8"/>
  <c r="HR30" i="8"/>
  <c r="HP30" i="8"/>
  <c r="HQ30" i="8"/>
  <c r="HO30" i="8"/>
  <c r="HR29" i="8"/>
  <c r="HP29" i="8"/>
  <c r="HQ29" i="8"/>
  <c r="HO29" i="8"/>
  <c r="HR28" i="8"/>
  <c r="HP28" i="8"/>
  <c r="HQ28" i="8"/>
  <c r="HO28" i="8"/>
  <c r="HR27" i="8"/>
  <c r="HP27" i="8"/>
  <c r="HQ27" i="8"/>
  <c r="HO27" i="8"/>
  <c r="HR25" i="8"/>
  <c r="HP25" i="8"/>
  <c r="HQ25" i="8"/>
  <c r="HO25" i="8"/>
  <c r="HR24" i="8"/>
  <c r="HP24" i="8"/>
  <c r="HQ24" i="8"/>
  <c r="HO24" i="8"/>
  <c r="HR23" i="8"/>
  <c r="HP23" i="8"/>
  <c r="HQ23" i="8"/>
  <c r="HO23" i="8"/>
  <c r="HR22" i="8"/>
  <c r="HP22" i="8"/>
  <c r="HQ22" i="8"/>
  <c r="HO22" i="8"/>
  <c r="HR21" i="8"/>
  <c r="HP21" i="8"/>
  <c r="HQ21" i="8"/>
  <c r="HO21" i="8"/>
  <c r="HR20" i="8"/>
  <c r="HP20" i="8"/>
  <c r="HQ20" i="8"/>
  <c r="HO20" i="8"/>
  <c r="HR18" i="8"/>
  <c r="HP18" i="8"/>
  <c r="HQ18" i="8"/>
  <c r="HO18" i="8"/>
  <c r="HR17" i="8"/>
  <c r="HP17" i="8"/>
  <c r="HQ17" i="8"/>
  <c r="HO17" i="8"/>
  <c r="HR16" i="8"/>
  <c r="HP16" i="8"/>
  <c r="HQ16" i="8"/>
  <c r="HO16" i="8"/>
  <c r="HR15" i="8"/>
  <c r="HP15" i="8"/>
  <c r="HQ15" i="8"/>
  <c r="HO15" i="8"/>
  <c r="HR13" i="8"/>
  <c r="HP13" i="8"/>
  <c r="HQ13" i="8"/>
  <c r="HO13" i="8"/>
  <c r="HR12" i="8"/>
  <c r="HP12" i="8"/>
  <c r="HQ12" i="8"/>
  <c r="HO12" i="8"/>
  <c r="HR11" i="8"/>
  <c r="HP11" i="8"/>
  <c r="HQ11" i="8"/>
  <c r="HO11" i="8"/>
  <c r="HR9" i="8"/>
  <c r="HP9" i="8"/>
  <c r="HQ9" i="8"/>
  <c r="HO9" i="8"/>
  <c r="HR8" i="8"/>
  <c r="HP8" i="8"/>
  <c r="HQ8" i="8"/>
  <c r="HO8" i="8"/>
  <c r="HR7" i="8"/>
  <c r="HP7" i="8"/>
  <c r="HQ7" i="8"/>
  <c r="HO7" i="8"/>
  <c r="HR5" i="8"/>
  <c r="HP5" i="8"/>
  <c r="HQ5" i="8"/>
  <c r="HO5" i="8"/>
  <c r="HR4" i="8"/>
  <c r="HP4" i="8"/>
  <c r="HQ4" i="8"/>
  <c r="HO4" i="8"/>
  <c r="HR3" i="8"/>
  <c r="HP3" i="8"/>
  <c r="HQ3" i="8"/>
  <c r="HO3" i="8"/>
  <c r="GZ61" i="8"/>
  <c r="GX61" i="8"/>
  <c r="GW61" i="8"/>
  <c r="HA54" i="8"/>
  <c r="HF49" i="8"/>
  <c r="HD49" i="8"/>
  <c r="HE49" i="8"/>
  <c r="HC49" i="8"/>
  <c r="HF48" i="8"/>
  <c r="HD48" i="8"/>
  <c r="HE48" i="8"/>
  <c r="HC48" i="8"/>
  <c r="HF47" i="8"/>
  <c r="HD47" i="8"/>
  <c r="HE47" i="8"/>
  <c r="HC47" i="8"/>
  <c r="HF46" i="8"/>
  <c r="HD46" i="8"/>
  <c r="HE46" i="8"/>
  <c r="HC46" i="8"/>
  <c r="HF44" i="8"/>
  <c r="HD44" i="8"/>
  <c r="HE44" i="8"/>
  <c r="HC44" i="8"/>
  <c r="HF43" i="8"/>
  <c r="HD43" i="8"/>
  <c r="HE43" i="8"/>
  <c r="HC43" i="8"/>
  <c r="HF42" i="8"/>
  <c r="HD42" i="8"/>
  <c r="HE42" i="8"/>
  <c r="HC42" i="8"/>
  <c r="HF40" i="8"/>
  <c r="HD40" i="8"/>
  <c r="HE40" i="8"/>
  <c r="HC40" i="8"/>
  <c r="HF39" i="8"/>
  <c r="HD39" i="8"/>
  <c r="HE39" i="8"/>
  <c r="HC39" i="8"/>
  <c r="HF38" i="8"/>
  <c r="HD38" i="8"/>
  <c r="HE38" i="8"/>
  <c r="HC38" i="8"/>
  <c r="HF36" i="8"/>
  <c r="HD36" i="8"/>
  <c r="HE36" i="8"/>
  <c r="HC36" i="8"/>
  <c r="HF35" i="8"/>
  <c r="HD35" i="8"/>
  <c r="HE35" i="8"/>
  <c r="HC35" i="8"/>
  <c r="HF34" i="8"/>
  <c r="HD34" i="8"/>
  <c r="HE34" i="8"/>
  <c r="HC34" i="8"/>
  <c r="HF33" i="8"/>
  <c r="HD33" i="8"/>
  <c r="HE33" i="8"/>
  <c r="HC33" i="8"/>
  <c r="HF31" i="8"/>
  <c r="HD31" i="8"/>
  <c r="HE31" i="8"/>
  <c r="HC31" i="8"/>
  <c r="HF30" i="8"/>
  <c r="HD30" i="8"/>
  <c r="HE30" i="8"/>
  <c r="HC30" i="8"/>
  <c r="HF29" i="8"/>
  <c r="HD29" i="8"/>
  <c r="HE29" i="8"/>
  <c r="HC29" i="8"/>
  <c r="HF28" i="8"/>
  <c r="HD28" i="8"/>
  <c r="HE28" i="8"/>
  <c r="HC28" i="8"/>
  <c r="HF27" i="8"/>
  <c r="HD27" i="8"/>
  <c r="HE27" i="8"/>
  <c r="HC27" i="8"/>
  <c r="HF25" i="8"/>
  <c r="HD25" i="8"/>
  <c r="HE25" i="8"/>
  <c r="HC25" i="8"/>
  <c r="HF24" i="8"/>
  <c r="HD24" i="8"/>
  <c r="HE24" i="8"/>
  <c r="HC24" i="8"/>
  <c r="HF23" i="8"/>
  <c r="HD23" i="8"/>
  <c r="HE23" i="8"/>
  <c r="HC23" i="8"/>
  <c r="HF22" i="8"/>
  <c r="HD22" i="8"/>
  <c r="HE22" i="8"/>
  <c r="HC22" i="8"/>
  <c r="HF21" i="8"/>
  <c r="HD21" i="8"/>
  <c r="HE21" i="8"/>
  <c r="HC21" i="8"/>
  <c r="HF20" i="8"/>
  <c r="HD20" i="8"/>
  <c r="HE20" i="8"/>
  <c r="HC20" i="8"/>
  <c r="HF18" i="8"/>
  <c r="HD18" i="8"/>
  <c r="HE18" i="8"/>
  <c r="HC18" i="8"/>
  <c r="HF17" i="8"/>
  <c r="HD17" i="8"/>
  <c r="HE17" i="8"/>
  <c r="HC17" i="8"/>
  <c r="HF16" i="8"/>
  <c r="HD16" i="8"/>
  <c r="HE16" i="8"/>
  <c r="HC16" i="8"/>
  <c r="HF15" i="8"/>
  <c r="HD15" i="8"/>
  <c r="HE15" i="8"/>
  <c r="HC15" i="8"/>
  <c r="HF13" i="8"/>
  <c r="HD13" i="8"/>
  <c r="HE13" i="8"/>
  <c r="HC13" i="8"/>
  <c r="HF12" i="8"/>
  <c r="HD12" i="8"/>
  <c r="HE12" i="8"/>
  <c r="HC12" i="8"/>
  <c r="HF11" i="8"/>
  <c r="HD11" i="8"/>
  <c r="HE11" i="8"/>
  <c r="HC11" i="8"/>
  <c r="HF9" i="8"/>
  <c r="HD9" i="8"/>
  <c r="HE9" i="8"/>
  <c r="HC9" i="8"/>
  <c r="HF8" i="8"/>
  <c r="HD8" i="8"/>
  <c r="HE8" i="8"/>
  <c r="HC8" i="8"/>
  <c r="HF7" i="8"/>
  <c r="HD7" i="8"/>
  <c r="HE7" i="8"/>
  <c r="HC7" i="8"/>
  <c r="HF5" i="8"/>
  <c r="HD5" i="8"/>
  <c r="HE5" i="8"/>
  <c r="HC5" i="8"/>
  <c r="HF4" i="8"/>
  <c r="HD4" i="8"/>
  <c r="HE4" i="8"/>
  <c r="HC4" i="8"/>
  <c r="HF3" i="8"/>
  <c r="HD3" i="8"/>
  <c r="HE3" i="8"/>
  <c r="HC3" i="8"/>
  <c r="GN61" i="8"/>
  <c r="GL61" i="8"/>
  <c r="GK61" i="8"/>
  <c r="GT49" i="8"/>
  <c r="GR49" i="8"/>
  <c r="GS49" i="8"/>
  <c r="GQ49" i="8"/>
  <c r="GT48" i="8"/>
  <c r="GR48" i="8"/>
  <c r="GS48" i="8"/>
  <c r="GQ48" i="8"/>
  <c r="GT47" i="8"/>
  <c r="GR47" i="8"/>
  <c r="GS47" i="8"/>
  <c r="GQ47" i="8"/>
  <c r="GT46" i="8"/>
  <c r="GR46" i="8"/>
  <c r="GS46" i="8"/>
  <c r="GQ46" i="8"/>
  <c r="GT44" i="8"/>
  <c r="GR44" i="8"/>
  <c r="GS44" i="8"/>
  <c r="GQ44" i="8"/>
  <c r="GT43" i="8"/>
  <c r="GR43" i="8"/>
  <c r="GS43" i="8"/>
  <c r="GQ43" i="8"/>
  <c r="GT42" i="8"/>
  <c r="GR42" i="8"/>
  <c r="GS42" i="8"/>
  <c r="GQ42" i="8"/>
  <c r="GT40" i="8"/>
  <c r="GR40" i="8"/>
  <c r="GS40" i="8"/>
  <c r="GQ40" i="8"/>
  <c r="GT39" i="8"/>
  <c r="GR39" i="8"/>
  <c r="GS39" i="8"/>
  <c r="GQ39" i="8"/>
  <c r="GT38" i="8"/>
  <c r="GR38" i="8"/>
  <c r="GS38" i="8"/>
  <c r="GQ38" i="8"/>
  <c r="GT36" i="8"/>
  <c r="GR36" i="8"/>
  <c r="GS36" i="8"/>
  <c r="GQ36" i="8"/>
  <c r="GT35" i="8"/>
  <c r="GR35" i="8"/>
  <c r="GS35" i="8"/>
  <c r="GQ35" i="8"/>
  <c r="GT34" i="8"/>
  <c r="GR34" i="8"/>
  <c r="GS34" i="8"/>
  <c r="GQ34" i="8"/>
  <c r="GT33" i="8"/>
  <c r="GR33" i="8"/>
  <c r="GS33" i="8"/>
  <c r="GQ33" i="8"/>
  <c r="GT31" i="8"/>
  <c r="GR31" i="8"/>
  <c r="GS31" i="8"/>
  <c r="GQ31" i="8"/>
  <c r="GT30" i="8"/>
  <c r="GR30" i="8"/>
  <c r="GS30" i="8"/>
  <c r="GQ30" i="8"/>
  <c r="GT29" i="8"/>
  <c r="GR29" i="8"/>
  <c r="GS29" i="8"/>
  <c r="GQ29" i="8"/>
  <c r="GT28" i="8"/>
  <c r="GR28" i="8"/>
  <c r="GS28" i="8"/>
  <c r="GQ28" i="8"/>
  <c r="GT27" i="8"/>
  <c r="GR27" i="8"/>
  <c r="GS27" i="8"/>
  <c r="GQ27" i="8"/>
  <c r="GT25" i="8"/>
  <c r="GR25" i="8"/>
  <c r="GS25" i="8"/>
  <c r="GQ25" i="8"/>
  <c r="GT24" i="8"/>
  <c r="GR24" i="8"/>
  <c r="GS24" i="8"/>
  <c r="GQ24" i="8"/>
  <c r="GT23" i="8"/>
  <c r="GR23" i="8"/>
  <c r="GS23" i="8"/>
  <c r="GQ23" i="8"/>
  <c r="GT22" i="8"/>
  <c r="GR22" i="8"/>
  <c r="GS22" i="8"/>
  <c r="GQ22" i="8"/>
  <c r="GT21" i="8"/>
  <c r="GR21" i="8"/>
  <c r="GS21" i="8"/>
  <c r="GQ21" i="8"/>
  <c r="GT20" i="8"/>
  <c r="GR20" i="8"/>
  <c r="GS20" i="8"/>
  <c r="GQ20" i="8"/>
  <c r="GT18" i="8"/>
  <c r="GR18" i="8"/>
  <c r="GS18" i="8"/>
  <c r="GQ18" i="8"/>
  <c r="GT17" i="8"/>
  <c r="GR17" i="8"/>
  <c r="GS17" i="8"/>
  <c r="GQ17" i="8"/>
  <c r="GT16" i="8"/>
  <c r="GR16" i="8"/>
  <c r="GS16" i="8"/>
  <c r="GQ16" i="8"/>
  <c r="GT15" i="8"/>
  <c r="GR15" i="8"/>
  <c r="GS15" i="8"/>
  <c r="GQ15" i="8"/>
  <c r="GT13" i="8"/>
  <c r="GR13" i="8"/>
  <c r="GS13" i="8"/>
  <c r="GQ13" i="8"/>
  <c r="GT12" i="8"/>
  <c r="GR12" i="8"/>
  <c r="GS12" i="8"/>
  <c r="GQ12" i="8"/>
  <c r="GT11" i="8"/>
  <c r="GR11" i="8"/>
  <c r="GS11" i="8"/>
  <c r="GQ11" i="8"/>
  <c r="GT9" i="8"/>
  <c r="GR9" i="8"/>
  <c r="GS9" i="8"/>
  <c r="GQ9" i="8"/>
  <c r="GT8" i="8"/>
  <c r="GR8" i="8"/>
  <c r="GS8" i="8"/>
  <c r="GQ8" i="8"/>
  <c r="GT7" i="8"/>
  <c r="GR7" i="8"/>
  <c r="GS7" i="8"/>
  <c r="GQ7" i="8"/>
  <c r="GT5" i="8"/>
  <c r="GR5" i="8"/>
  <c r="GS5" i="8"/>
  <c r="GQ5" i="8"/>
  <c r="GT4" i="8"/>
  <c r="GR4" i="8"/>
  <c r="GS4" i="8"/>
  <c r="GQ4" i="8"/>
  <c r="GT3" i="8"/>
  <c r="GR3" i="8"/>
  <c r="GS3" i="8"/>
  <c r="GQ3" i="8"/>
  <c r="GB61" i="8"/>
  <c r="FZ61" i="8"/>
  <c r="FY61" i="8"/>
  <c r="GC53" i="8"/>
  <c r="S17" i="30" s="1"/>
  <c r="FZ58" i="8"/>
  <c r="G17" i="30" s="1"/>
  <c r="GH49" i="8"/>
  <c r="GF49" i="8"/>
  <c r="GG49" i="8"/>
  <c r="GE49" i="8"/>
  <c r="GH48" i="8"/>
  <c r="GF48" i="8"/>
  <c r="GG48" i="8"/>
  <c r="GE48" i="8"/>
  <c r="GH47" i="8"/>
  <c r="GF47" i="8"/>
  <c r="GG47" i="8"/>
  <c r="GE47" i="8"/>
  <c r="GH46" i="8"/>
  <c r="GF46" i="8"/>
  <c r="GG46" i="8"/>
  <c r="GE46" i="8"/>
  <c r="GH44" i="8"/>
  <c r="GF44" i="8"/>
  <c r="GG44" i="8"/>
  <c r="GE44" i="8"/>
  <c r="GH43" i="8"/>
  <c r="GF43" i="8"/>
  <c r="GG43" i="8"/>
  <c r="GE43" i="8"/>
  <c r="GH42" i="8"/>
  <c r="GF42" i="8"/>
  <c r="GG42" i="8"/>
  <c r="GE42" i="8"/>
  <c r="GH40" i="8"/>
  <c r="GF40" i="8"/>
  <c r="GG40" i="8"/>
  <c r="GE40" i="8"/>
  <c r="GH39" i="8"/>
  <c r="GF39" i="8"/>
  <c r="GG39" i="8"/>
  <c r="GE39" i="8"/>
  <c r="GH38" i="8"/>
  <c r="GF38" i="8"/>
  <c r="GG38" i="8"/>
  <c r="GE38" i="8"/>
  <c r="GH36" i="8"/>
  <c r="GF36" i="8"/>
  <c r="GG36" i="8"/>
  <c r="GE36" i="8"/>
  <c r="GH35" i="8"/>
  <c r="GF35" i="8"/>
  <c r="GG35" i="8"/>
  <c r="GE35" i="8"/>
  <c r="GH34" i="8"/>
  <c r="GF34" i="8"/>
  <c r="GG34" i="8"/>
  <c r="GE34" i="8"/>
  <c r="GH33" i="8"/>
  <c r="GF33" i="8"/>
  <c r="GG33" i="8"/>
  <c r="GE33" i="8"/>
  <c r="GH31" i="8"/>
  <c r="GF31" i="8"/>
  <c r="GG31" i="8"/>
  <c r="GE31" i="8"/>
  <c r="GH30" i="8"/>
  <c r="GF30" i="8"/>
  <c r="GG30" i="8"/>
  <c r="GE30" i="8"/>
  <c r="GH29" i="8"/>
  <c r="GF29" i="8"/>
  <c r="GG29" i="8"/>
  <c r="GE29" i="8"/>
  <c r="GH28" i="8"/>
  <c r="GF28" i="8"/>
  <c r="GG28" i="8"/>
  <c r="GE28" i="8"/>
  <c r="GH27" i="8"/>
  <c r="GF27" i="8"/>
  <c r="GG27" i="8"/>
  <c r="GE27" i="8"/>
  <c r="GH25" i="8"/>
  <c r="GF25" i="8"/>
  <c r="GG25" i="8"/>
  <c r="GE25" i="8"/>
  <c r="GH24" i="8"/>
  <c r="GF24" i="8"/>
  <c r="GG24" i="8"/>
  <c r="GE24" i="8"/>
  <c r="GH23" i="8"/>
  <c r="GF23" i="8"/>
  <c r="GG23" i="8"/>
  <c r="GE23" i="8"/>
  <c r="GH22" i="8"/>
  <c r="GF22" i="8"/>
  <c r="GG22" i="8"/>
  <c r="GE22" i="8"/>
  <c r="GH21" i="8"/>
  <c r="GF21" i="8"/>
  <c r="GG21" i="8"/>
  <c r="GE21" i="8"/>
  <c r="GH20" i="8"/>
  <c r="GF20" i="8"/>
  <c r="GG20" i="8"/>
  <c r="GE20" i="8"/>
  <c r="GH18" i="8"/>
  <c r="GF18" i="8"/>
  <c r="GG18" i="8"/>
  <c r="GE18" i="8"/>
  <c r="GH17" i="8"/>
  <c r="GF17" i="8"/>
  <c r="GG17" i="8"/>
  <c r="GE17" i="8"/>
  <c r="GH16" i="8"/>
  <c r="GF16" i="8"/>
  <c r="GG16" i="8"/>
  <c r="GE16" i="8"/>
  <c r="GH15" i="8"/>
  <c r="GF15" i="8"/>
  <c r="GG15" i="8"/>
  <c r="GE15" i="8"/>
  <c r="GH13" i="8"/>
  <c r="GF13" i="8"/>
  <c r="GG13" i="8"/>
  <c r="GE13" i="8"/>
  <c r="GH12" i="8"/>
  <c r="GF12" i="8"/>
  <c r="GG12" i="8"/>
  <c r="GE12" i="8"/>
  <c r="GH11" i="8"/>
  <c r="GF11" i="8"/>
  <c r="GG11" i="8"/>
  <c r="GE11" i="8"/>
  <c r="GH9" i="8"/>
  <c r="GF9" i="8"/>
  <c r="GG9" i="8"/>
  <c r="GE9" i="8"/>
  <c r="GH8" i="8"/>
  <c r="GF8" i="8"/>
  <c r="GG8" i="8"/>
  <c r="GE8" i="8"/>
  <c r="GH7" i="8"/>
  <c r="GF7" i="8"/>
  <c r="GG7" i="8"/>
  <c r="GE7" i="8"/>
  <c r="GH5" i="8"/>
  <c r="GF5" i="8"/>
  <c r="GG5" i="8"/>
  <c r="GE5" i="8"/>
  <c r="GH4" i="8"/>
  <c r="FZ57" i="8" s="1"/>
  <c r="F17" i="30" s="1"/>
  <c r="GF4" i="8"/>
  <c r="GG4" i="8"/>
  <c r="GE4" i="8"/>
  <c r="GH3" i="8"/>
  <c r="GF3" i="8"/>
  <c r="GG3" i="8"/>
  <c r="GE3" i="8"/>
  <c r="FP61" i="8"/>
  <c r="FN61" i="8"/>
  <c r="FM61" i="8"/>
  <c r="FQ55" i="8"/>
  <c r="I16" i="30" s="1"/>
  <c r="FQ54" i="8"/>
  <c r="FQ53" i="8"/>
  <c r="S16" i="30" s="1"/>
  <c r="FV49" i="8"/>
  <c r="FT49" i="8"/>
  <c r="FU49" i="8"/>
  <c r="FS49" i="8"/>
  <c r="FV48" i="8"/>
  <c r="FT48" i="8"/>
  <c r="FU48" i="8"/>
  <c r="FS48" i="8"/>
  <c r="FV47" i="8"/>
  <c r="FT47" i="8"/>
  <c r="FU47" i="8"/>
  <c r="FS47" i="8"/>
  <c r="FV46" i="8"/>
  <c r="FT46" i="8"/>
  <c r="FU46" i="8"/>
  <c r="FS46" i="8"/>
  <c r="FV44" i="8"/>
  <c r="FT44" i="8"/>
  <c r="FU44" i="8"/>
  <c r="FS44" i="8"/>
  <c r="FV43" i="8"/>
  <c r="FT43" i="8"/>
  <c r="FU43" i="8"/>
  <c r="FS43" i="8"/>
  <c r="FV42" i="8"/>
  <c r="FT42" i="8"/>
  <c r="FU42" i="8"/>
  <c r="FS42" i="8"/>
  <c r="FV40" i="8"/>
  <c r="FT40" i="8"/>
  <c r="FU40" i="8"/>
  <c r="FS40" i="8"/>
  <c r="FV39" i="8"/>
  <c r="FT39" i="8"/>
  <c r="FU39" i="8"/>
  <c r="FS39" i="8"/>
  <c r="FV38" i="8"/>
  <c r="FT38" i="8"/>
  <c r="FU38" i="8"/>
  <c r="FS38" i="8"/>
  <c r="FV36" i="8"/>
  <c r="FV54" i="8" s="1"/>
  <c r="FT36" i="8"/>
  <c r="FU36" i="8"/>
  <c r="FS36" i="8"/>
  <c r="FV35" i="8"/>
  <c r="FT35" i="8"/>
  <c r="FU35" i="8"/>
  <c r="FS35" i="8"/>
  <c r="FV34" i="8"/>
  <c r="FT34" i="8"/>
  <c r="FU34" i="8"/>
  <c r="FS34" i="8"/>
  <c r="FV33" i="8"/>
  <c r="FT33" i="8"/>
  <c r="FU33" i="8"/>
  <c r="FS33" i="8"/>
  <c r="FV31" i="8"/>
  <c r="FT31" i="8"/>
  <c r="FU31" i="8"/>
  <c r="FS31" i="8"/>
  <c r="FV30" i="8"/>
  <c r="FT30" i="8"/>
  <c r="FU30" i="8"/>
  <c r="FS30" i="8"/>
  <c r="FV29" i="8"/>
  <c r="FT29" i="8"/>
  <c r="FU29" i="8"/>
  <c r="FS29" i="8"/>
  <c r="FV28" i="8"/>
  <c r="FT28" i="8"/>
  <c r="FU28" i="8"/>
  <c r="FS28" i="8"/>
  <c r="FV27" i="8"/>
  <c r="FT27" i="8"/>
  <c r="FU27" i="8"/>
  <c r="FS27" i="8"/>
  <c r="FV25" i="8"/>
  <c r="FT25" i="8"/>
  <c r="FU25" i="8"/>
  <c r="FS25" i="8"/>
  <c r="FV24" i="8"/>
  <c r="FT24" i="8"/>
  <c r="FU24" i="8"/>
  <c r="FS24" i="8"/>
  <c r="FV23" i="8"/>
  <c r="FT23" i="8"/>
  <c r="FU23" i="8"/>
  <c r="FS23" i="8"/>
  <c r="FV22" i="8"/>
  <c r="FT22" i="8"/>
  <c r="FU22" i="8"/>
  <c r="FS22" i="8"/>
  <c r="FV21" i="8"/>
  <c r="FT21" i="8"/>
  <c r="FU21" i="8"/>
  <c r="FS21" i="8"/>
  <c r="FV20" i="8"/>
  <c r="FT20" i="8"/>
  <c r="FU20" i="8"/>
  <c r="FS20" i="8"/>
  <c r="FV18" i="8"/>
  <c r="FT18" i="8"/>
  <c r="FU18" i="8"/>
  <c r="FS18" i="8"/>
  <c r="FV17" i="8"/>
  <c r="FT17" i="8"/>
  <c r="FU17" i="8"/>
  <c r="FS17" i="8"/>
  <c r="FV16" i="8"/>
  <c r="FT16" i="8"/>
  <c r="FU16" i="8"/>
  <c r="FS16" i="8"/>
  <c r="FV15" i="8"/>
  <c r="FT15" i="8"/>
  <c r="FU15" i="8"/>
  <c r="FS15" i="8"/>
  <c r="FV13" i="8"/>
  <c r="FT13" i="8"/>
  <c r="FU13" i="8"/>
  <c r="FS13" i="8"/>
  <c r="FV12" i="8"/>
  <c r="FT12" i="8"/>
  <c r="FU12" i="8"/>
  <c r="FS12" i="8"/>
  <c r="FV11" i="8"/>
  <c r="FT11" i="8"/>
  <c r="FU11" i="8"/>
  <c r="FS11" i="8"/>
  <c r="FV9" i="8"/>
  <c r="FT9" i="8"/>
  <c r="FU9" i="8"/>
  <c r="FS9" i="8"/>
  <c r="FV8" i="8"/>
  <c r="FT8" i="8"/>
  <c r="FU8" i="8"/>
  <c r="FS8" i="8"/>
  <c r="FV7" i="8"/>
  <c r="FT7" i="8"/>
  <c r="FU7" i="8"/>
  <c r="FS7" i="8"/>
  <c r="FV5" i="8"/>
  <c r="FT5" i="8"/>
  <c r="FU5" i="8"/>
  <c r="FS5" i="8"/>
  <c r="FV4" i="8"/>
  <c r="FT4" i="8"/>
  <c r="FU4" i="8"/>
  <c r="FS4" i="8"/>
  <c r="FV3" i="8"/>
  <c r="FT3" i="8"/>
  <c r="FU3" i="8"/>
  <c r="FS3" i="8"/>
  <c r="FD61" i="8"/>
  <c r="FB61" i="8"/>
  <c r="FA61" i="8"/>
  <c r="FE54" i="8"/>
  <c r="H15" i="30" s="1"/>
  <c r="FB56" i="8"/>
  <c r="FJ49" i="8"/>
  <c r="FH49" i="8"/>
  <c r="FI49" i="8"/>
  <c r="FG49" i="8"/>
  <c r="FJ48" i="8"/>
  <c r="FH48" i="8"/>
  <c r="FI48" i="8"/>
  <c r="FG48" i="8"/>
  <c r="FJ47" i="8"/>
  <c r="FH47" i="8"/>
  <c r="FI47" i="8"/>
  <c r="FG47" i="8"/>
  <c r="FJ46" i="8"/>
  <c r="FH46" i="8"/>
  <c r="FI46" i="8"/>
  <c r="FG46" i="8"/>
  <c r="FJ44" i="8"/>
  <c r="FH44" i="8"/>
  <c r="FI44" i="8"/>
  <c r="FG44" i="8"/>
  <c r="FJ43" i="8"/>
  <c r="FH43" i="8"/>
  <c r="FI43" i="8"/>
  <c r="FE55" i="8" s="1"/>
  <c r="I15" i="30" s="1"/>
  <c r="FG43" i="8"/>
  <c r="FJ42" i="8"/>
  <c r="FH42" i="8"/>
  <c r="FI42" i="8"/>
  <c r="FG42" i="8"/>
  <c r="FJ40" i="8"/>
  <c r="FH40" i="8"/>
  <c r="FI40" i="8"/>
  <c r="FG40" i="8"/>
  <c r="FJ39" i="8"/>
  <c r="FH39" i="8"/>
  <c r="FI39" i="8"/>
  <c r="FG39" i="8"/>
  <c r="FJ38" i="8"/>
  <c r="FH38" i="8"/>
  <c r="FI38" i="8"/>
  <c r="FG38" i="8"/>
  <c r="FJ36" i="8"/>
  <c r="FH36" i="8"/>
  <c r="FI36" i="8"/>
  <c r="FG36" i="8"/>
  <c r="FJ35" i="8"/>
  <c r="FH35" i="8"/>
  <c r="FI35" i="8"/>
  <c r="FG35" i="8"/>
  <c r="FJ34" i="8"/>
  <c r="FH34" i="8"/>
  <c r="FI34" i="8"/>
  <c r="FG34" i="8"/>
  <c r="FJ33" i="8"/>
  <c r="FH33" i="8"/>
  <c r="FI33" i="8"/>
  <c r="FG33" i="8"/>
  <c r="FJ31" i="8"/>
  <c r="FH31" i="8"/>
  <c r="FI31" i="8"/>
  <c r="FG31" i="8"/>
  <c r="FJ30" i="8"/>
  <c r="FH30" i="8"/>
  <c r="FI30" i="8"/>
  <c r="FG30" i="8"/>
  <c r="FJ29" i="8"/>
  <c r="FH29" i="8"/>
  <c r="FI29" i="8"/>
  <c r="FG29" i="8"/>
  <c r="FJ28" i="8"/>
  <c r="FH28" i="8"/>
  <c r="FI28" i="8"/>
  <c r="FG28" i="8"/>
  <c r="FJ27" i="8"/>
  <c r="FH27" i="8"/>
  <c r="FI27" i="8"/>
  <c r="FG27" i="8"/>
  <c r="FJ25" i="8"/>
  <c r="FH25" i="8"/>
  <c r="FI25" i="8"/>
  <c r="FG25" i="8"/>
  <c r="FJ24" i="8"/>
  <c r="FH24" i="8"/>
  <c r="FI24" i="8"/>
  <c r="FG24" i="8"/>
  <c r="FJ23" i="8"/>
  <c r="FH23" i="8"/>
  <c r="FI23" i="8"/>
  <c r="FG23" i="8"/>
  <c r="FJ22" i="8"/>
  <c r="FH22" i="8"/>
  <c r="FI22" i="8"/>
  <c r="FG22" i="8"/>
  <c r="FJ21" i="8"/>
  <c r="FH21" i="8"/>
  <c r="FI21" i="8"/>
  <c r="FG21" i="8"/>
  <c r="FJ20" i="8"/>
  <c r="FH20" i="8"/>
  <c r="FI20" i="8"/>
  <c r="FG20" i="8"/>
  <c r="FJ18" i="8"/>
  <c r="FH18" i="8"/>
  <c r="FI18" i="8"/>
  <c r="FG18" i="8"/>
  <c r="FJ17" i="8"/>
  <c r="FH17" i="8"/>
  <c r="FI17" i="8"/>
  <c r="FG17" i="8"/>
  <c r="FJ16" i="8"/>
  <c r="FH16" i="8"/>
  <c r="FI16" i="8"/>
  <c r="FG16" i="8"/>
  <c r="FJ15" i="8"/>
  <c r="FH15" i="8"/>
  <c r="FI15" i="8"/>
  <c r="FG15" i="8"/>
  <c r="FJ13" i="8"/>
  <c r="FH13" i="8"/>
  <c r="FI13" i="8"/>
  <c r="FG13" i="8"/>
  <c r="FJ12" i="8"/>
  <c r="FH12" i="8"/>
  <c r="FI12" i="8"/>
  <c r="FG12" i="8"/>
  <c r="FJ11" i="8"/>
  <c r="FH11" i="8"/>
  <c r="FI11" i="8"/>
  <c r="FG11" i="8"/>
  <c r="FJ9" i="8"/>
  <c r="FH9" i="8"/>
  <c r="FI9" i="8"/>
  <c r="FG9" i="8"/>
  <c r="FJ8" i="8"/>
  <c r="FH8" i="8"/>
  <c r="FI8" i="8"/>
  <c r="FG8" i="8"/>
  <c r="FJ7" i="8"/>
  <c r="FH7" i="8"/>
  <c r="FI7" i="8"/>
  <c r="FG7" i="8"/>
  <c r="FJ5" i="8"/>
  <c r="FH5" i="8"/>
  <c r="FI5" i="8"/>
  <c r="FG5" i="8"/>
  <c r="FJ4" i="8"/>
  <c r="FH4" i="8"/>
  <c r="FI4" i="8"/>
  <c r="FG4" i="8"/>
  <c r="FJ3" i="8"/>
  <c r="FH3" i="8"/>
  <c r="FI3" i="8"/>
  <c r="FG3" i="8"/>
  <c r="ER61" i="8"/>
  <c r="EP61" i="8"/>
  <c r="EO61" i="8"/>
  <c r="ES53" i="8"/>
  <c r="S14" i="30" s="1"/>
  <c r="EX49" i="8"/>
  <c r="EV49" i="8"/>
  <c r="EW49" i="8"/>
  <c r="EU49" i="8"/>
  <c r="EX48" i="8"/>
  <c r="EV48" i="8"/>
  <c r="EW48" i="8"/>
  <c r="EU48" i="8"/>
  <c r="EX47" i="8"/>
  <c r="EV47" i="8"/>
  <c r="EW47" i="8"/>
  <c r="EU47" i="8"/>
  <c r="EX46" i="8"/>
  <c r="EV46" i="8"/>
  <c r="EW46" i="8"/>
  <c r="EU46" i="8"/>
  <c r="EX44" i="8"/>
  <c r="EV44" i="8"/>
  <c r="EW44" i="8"/>
  <c r="EU44" i="8"/>
  <c r="EX43" i="8"/>
  <c r="EP56" i="8" s="1"/>
  <c r="EV43" i="8"/>
  <c r="EW43" i="8"/>
  <c r="EU43" i="8"/>
  <c r="EX42" i="8"/>
  <c r="EV42" i="8"/>
  <c r="EW42" i="8"/>
  <c r="EU42" i="8"/>
  <c r="EX40" i="8"/>
  <c r="EV40" i="8"/>
  <c r="EW40" i="8"/>
  <c r="EU40" i="8"/>
  <c r="EX39" i="8"/>
  <c r="EV39" i="8"/>
  <c r="EW39" i="8"/>
  <c r="EU39" i="8"/>
  <c r="EX38" i="8"/>
  <c r="EV38" i="8"/>
  <c r="EW38" i="8"/>
  <c r="EU38" i="8"/>
  <c r="EX36" i="8"/>
  <c r="EV36" i="8"/>
  <c r="EW36" i="8"/>
  <c r="EU36" i="8"/>
  <c r="EX35" i="8"/>
  <c r="EV35" i="8"/>
  <c r="EW35" i="8"/>
  <c r="EU35" i="8"/>
  <c r="EX34" i="8"/>
  <c r="EV34" i="8"/>
  <c r="EW34" i="8"/>
  <c r="EU34" i="8"/>
  <c r="EX33" i="8"/>
  <c r="EV33" i="8"/>
  <c r="EW33" i="8"/>
  <c r="EU33" i="8"/>
  <c r="EX31" i="8"/>
  <c r="EV31" i="8"/>
  <c r="EW31" i="8"/>
  <c r="EU31" i="8"/>
  <c r="EX30" i="8"/>
  <c r="EV30" i="8"/>
  <c r="EW30" i="8"/>
  <c r="EU30" i="8"/>
  <c r="EX29" i="8"/>
  <c r="EV29" i="8"/>
  <c r="EW29" i="8"/>
  <c r="EU29" i="8"/>
  <c r="EX28" i="8"/>
  <c r="EV28" i="8"/>
  <c r="EW28" i="8"/>
  <c r="EU28" i="8"/>
  <c r="EX27" i="8"/>
  <c r="EV27" i="8"/>
  <c r="EW27" i="8"/>
  <c r="EU27" i="8"/>
  <c r="EX25" i="8"/>
  <c r="EV25" i="8"/>
  <c r="EW25" i="8"/>
  <c r="EU25" i="8"/>
  <c r="EX24" i="8"/>
  <c r="EV24" i="8"/>
  <c r="EW24" i="8"/>
  <c r="EU24" i="8"/>
  <c r="EX23" i="8"/>
  <c r="EV23" i="8"/>
  <c r="EW23" i="8"/>
  <c r="EU23" i="8"/>
  <c r="ES54" i="8" s="1"/>
  <c r="EX22" i="8"/>
  <c r="EV22" i="8"/>
  <c r="EW22" i="8"/>
  <c r="EU22" i="8"/>
  <c r="EX21" i="8"/>
  <c r="EV21" i="8"/>
  <c r="EW21" i="8"/>
  <c r="EU21" i="8"/>
  <c r="EX20" i="8"/>
  <c r="EV20" i="8"/>
  <c r="EW20" i="8"/>
  <c r="EU20" i="8"/>
  <c r="EX18" i="8"/>
  <c r="EV18" i="8"/>
  <c r="EW18" i="8"/>
  <c r="EU18" i="8"/>
  <c r="EX17" i="8"/>
  <c r="EV17" i="8"/>
  <c r="EW17" i="8"/>
  <c r="EU17" i="8"/>
  <c r="EX16" i="8"/>
  <c r="EV16" i="8"/>
  <c r="EW16" i="8"/>
  <c r="EU16" i="8"/>
  <c r="EX15" i="8"/>
  <c r="EV15" i="8"/>
  <c r="EW15" i="8"/>
  <c r="EU15" i="8"/>
  <c r="EX13" i="8"/>
  <c r="EV13" i="8"/>
  <c r="EW13" i="8"/>
  <c r="EU13" i="8"/>
  <c r="EX12" i="8"/>
  <c r="EV12" i="8"/>
  <c r="EW12" i="8"/>
  <c r="EU12" i="8"/>
  <c r="EX11" i="8"/>
  <c r="EV11" i="8"/>
  <c r="EW11" i="8"/>
  <c r="EU11" i="8"/>
  <c r="EX9" i="8"/>
  <c r="EV9" i="8"/>
  <c r="EW9" i="8"/>
  <c r="EU9" i="8"/>
  <c r="EX8" i="8"/>
  <c r="EV8" i="8"/>
  <c r="EW8" i="8"/>
  <c r="EU8" i="8"/>
  <c r="EX7" i="8"/>
  <c r="EV7" i="8"/>
  <c r="EW7" i="8"/>
  <c r="EU7" i="8"/>
  <c r="EX5" i="8"/>
  <c r="EV5" i="8"/>
  <c r="EW5" i="8"/>
  <c r="EU5" i="8"/>
  <c r="EX4" i="8"/>
  <c r="EV4" i="8"/>
  <c r="EW4" i="8"/>
  <c r="EU4" i="8"/>
  <c r="EX3" i="8"/>
  <c r="EV3" i="8"/>
  <c r="EW3" i="8"/>
  <c r="EU3" i="8"/>
  <c r="EF61" i="8"/>
  <c r="ED61" i="8"/>
  <c r="EC61" i="8"/>
  <c r="ED56" i="8"/>
  <c r="EL49" i="8"/>
  <c r="EJ49" i="8"/>
  <c r="EK49" i="8"/>
  <c r="EI49" i="8"/>
  <c r="EL48" i="8"/>
  <c r="EJ48" i="8"/>
  <c r="EK48" i="8"/>
  <c r="EI48" i="8"/>
  <c r="EL47" i="8"/>
  <c r="EJ47" i="8"/>
  <c r="EK47" i="8"/>
  <c r="EI47" i="8"/>
  <c r="EL46" i="8"/>
  <c r="EJ46" i="8"/>
  <c r="EK46" i="8"/>
  <c r="EI46" i="8"/>
  <c r="EL44" i="8"/>
  <c r="EJ44" i="8"/>
  <c r="EK44" i="8"/>
  <c r="EI44" i="8"/>
  <c r="EL43" i="8"/>
  <c r="EJ43" i="8"/>
  <c r="EK43" i="8"/>
  <c r="EI43" i="8"/>
  <c r="EL42" i="8"/>
  <c r="EJ42" i="8"/>
  <c r="EK42" i="8"/>
  <c r="EI42" i="8"/>
  <c r="EL40" i="8"/>
  <c r="EJ40" i="8"/>
  <c r="EK40" i="8"/>
  <c r="EI40" i="8"/>
  <c r="EL39" i="8"/>
  <c r="EJ39" i="8"/>
  <c r="EK39" i="8"/>
  <c r="EI39" i="8"/>
  <c r="EL38" i="8"/>
  <c r="EJ38" i="8"/>
  <c r="EK38" i="8"/>
  <c r="EI38" i="8"/>
  <c r="EL36" i="8"/>
  <c r="EJ36" i="8"/>
  <c r="EK36" i="8"/>
  <c r="EI36" i="8"/>
  <c r="EL35" i="8"/>
  <c r="EJ35" i="8"/>
  <c r="EK35" i="8"/>
  <c r="EI35" i="8"/>
  <c r="EL34" i="8"/>
  <c r="EJ34" i="8"/>
  <c r="EK34" i="8"/>
  <c r="EI34" i="8"/>
  <c r="EL33" i="8"/>
  <c r="EJ33" i="8"/>
  <c r="EK33" i="8"/>
  <c r="EI33" i="8"/>
  <c r="EL31" i="8"/>
  <c r="EJ31" i="8"/>
  <c r="EK31" i="8"/>
  <c r="EI31" i="8"/>
  <c r="EL30" i="8"/>
  <c r="EJ30" i="8"/>
  <c r="EK30" i="8"/>
  <c r="EI30" i="8"/>
  <c r="EL29" i="8"/>
  <c r="EJ29" i="8"/>
  <c r="EK29" i="8"/>
  <c r="EI29" i="8"/>
  <c r="EL28" i="8"/>
  <c r="EJ28" i="8"/>
  <c r="EK28" i="8"/>
  <c r="EI28" i="8"/>
  <c r="EL27" i="8"/>
  <c r="EJ27" i="8"/>
  <c r="EK27" i="8"/>
  <c r="EI27" i="8"/>
  <c r="EL25" i="8"/>
  <c r="EJ25" i="8"/>
  <c r="EK25" i="8"/>
  <c r="EI25" i="8"/>
  <c r="EL24" i="8"/>
  <c r="EJ24" i="8"/>
  <c r="EK24" i="8"/>
  <c r="EI24" i="8"/>
  <c r="EL23" i="8"/>
  <c r="EJ23" i="8"/>
  <c r="EK23" i="8"/>
  <c r="EI23" i="8"/>
  <c r="EL22" i="8"/>
  <c r="EJ22" i="8"/>
  <c r="EK22" i="8"/>
  <c r="EI22" i="8"/>
  <c r="EL21" i="8"/>
  <c r="ED57" i="8" s="1"/>
  <c r="EJ21" i="8"/>
  <c r="EK21" i="8"/>
  <c r="EI21" i="8"/>
  <c r="EL20" i="8"/>
  <c r="EJ20" i="8"/>
  <c r="EK20" i="8"/>
  <c r="EI20" i="8"/>
  <c r="EL18" i="8"/>
  <c r="EJ18" i="8"/>
  <c r="EK18" i="8"/>
  <c r="EI18" i="8"/>
  <c r="EL17" i="8"/>
  <c r="EJ17" i="8"/>
  <c r="EK17" i="8"/>
  <c r="EI17" i="8"/>
  <c r="EL16" i="8"/>
  <c r="EJ16" i="8"/>
  <c r="EK16" i="8"/>
  <c r="EI16" i="8"/>
  <c r="EL15" i="8"/>
  <c r="EJ15" i="8"/>
  <c r="EK15" i="8"/>
  <c r="EI15" i="8"/>
  <c r="EL13" i="8"/>
  <c r="EJ13" i="8"/>
  <c r="EK13" i="8"/>
  <c r="EI13" i="8"/>
  <c r="EL12" i="8"/>
  <c r="EJ12" i="8"/>
  <c r="EK12" i="8"/>
  <c r="EI12" i="8"/>
  <c r="EL11" i="8"/>
  <c r="EJ11" i="8"/>
  <c r="EK11" i="8"/>
  <c r="EI11" i="8"/>
  <c r="EL9" i="8"/>
  <c r="EJ9" i="8"/>
  <c r="EK9" i="8"/>
  <c r="EI9" i="8"/>
  <c r="EL8" i="8"/>
  <c r="EJ8" i="8"/>
  <c r="EK8" i="8"/>
  <c r="EI8" i="8"/>
  <c r="EL7" i="8"/>
  <c r="EJ7" i="8"/>
  <c r="EK7" i="8"/>
  <c r="EI7" i="8"/>
  <c r="EL5" i="8"/>
  <c r="EJ5" i="8"/>
  <c r="EK5" i="8"/>
  <c r="EI5" i="8"/>
  <c r="EL4" i="8"/>
  <c r="EJ4" i="8"/>
  <c r="EK4" i="8"/>
  <c r="EI4" i="8"/>
  <c r="EL3" i="8"/>
  <c r="EJ3" i="8"/>
  <c r="EK3" i="8"/>
  <c r="EI3" i="8"/>
  <c r="DT61" i="8"/>
  <c r="DR61" i="8"/>
  <c r="DQ61" i="8"/>
  <c r="DZ49" i="8"/>
  <c r="DX49" i="8"/>
  <c r="DY49" i="8"/>
  <c r="DW49" i="8"/>
  <c r="DZ48" i="8"/>
  <c r="DX48" i="8"/>
  <c r="DY48" i="8"/>
  <c r="DW48" i="8"/>
  <c r="DZ47" i="8"/>
  <c r="DX47" i="8"/>
  <c r="DY47" i="8"/>
  <c r="DW47" i="8"/>
  <c r="DZ46" i="8"/>
  <c r="DX46" i="8"/>
  <c r="DY46" i="8"/>
  <c r="DW46" i="8"/>
  <c r="DZ44" i="8"/>
  <c r="DX44" i="8"/>
  <c r="DY44" i="8"/>
  <c r="DW44" i="8"/>
  <c r="DZ43" i="8"/>
  <c r="DX43" i="8"/>
  <c r="DY43" i="8"/>
  <c r="DW43" i="8"/>
  <c r="DZ42" i="8"/>
  <c r="DX42" i="8"/>
  <c r="DY42" i="8"/>
  <c r="DW42" i="8"/>
  <c r="DZ40" i="8"/>
  <c r="DX40" i="8"/>
  <c r="DY40" i="8"/>
  <c r="DW40" i="8"/>
  <c r="DZ39" i="8"/>
  <c r="DX39" i="8"/>
  <c r="DY39" i="8"/>
  <c r="DW39" i="8"/>
  <c r="DZ38" i="8"/>
  <c r="DX38" i="8"/>
  <c r="DY38" i="8"/>
  <c r="DW38" i="8"/>
  <c r="DZ36" i="8"/>
  <c r="DX36" i="8"/>
  <c r="DY36" i="8"/>
  <c r="DW36" i="8"/>
  <c r="DZ35" i="8"/>
  <c r="DX35" i="8"/>
  <c r="DY35" i="8"/>
  <c r="DW35" i="8"/>
  <c r="DZ34" i="8"/>
  <c r="DX34" i="8"/>
  <c r="DY34" i="8"/>
  <c r="DW34" i="8"/>
  <c r="DZ33" i="8"/>
  <c r="DX33" i="8"/>
  <c r="DY33" i="8"/>
  <c r="DW33" i="8"/>
  <c r="DZ31" i="8"/>
  <c r="DX31" i="8"/>
  <c r="DY31" i="8"/>
  <c r="DW31" i="8"/>
  <c r="DZ30" i="8"/>
  <c r="DX30" i="8"/>
  <c r="DY30" i="8"/>
  <c r="DW30" i="8"/>
  <c r="DZ29" i="8"/>
  <c r="DX29" i="8"/>
  <c r="DY29" i="8"/>
  <c r="DW29" i="8"/>
  <c r="DZ28" i="8"/>
  <c r="DX28" i="8"/>
  <c r="DY28" i="8"/>
  <c r="DW28" i="8"/>
  <c r="DZ27" i="8"/>
  <c r="DX27" i="8"/>
  <c r="DY27" i="8"/>
  <c r="DW27" i="8"/>
  <c r="DZ25" i="8"/>
  <c r="DX25" i="8"/>
  <c r="DY25" i="8"/>
  <c r="DW25" i="8"/>
  <c r="DZ24" i="8"/>
  <c r="DX24" i="8"/>
  <c r="DY24" i="8"/>
  <c r="DW24" i="8"/>
  <c r="DZ23" i="8"/>
  <c r="DX23" i="8"/>
  <c r="DY23" i="8"/>
  <c r="DW23" i="8"/>
  <c r="DZ22" i="8"/>
  <c r="DX22" i="8"/>
  <c r="DY22" i="8"/>
  <c r="DW22" i="8"/>
  <c r="DZ21" i="8"/>
  <c r="DX21" i="8"/>
  <c r="DY21" i="8"/>
  <c r="DW21" i="8"/>
  <c r="DZ20" i="8"/>
  <c r="DX20" i="8"/>
  <c r="DY20" i="8"/>
  <c r="DW20" i="8"/>
  <c r="DZ18" i="8"/>
  <c r="DX18" i="8"/>
  <c r="DY18" i="8"/>
  <c r="DW18" i="8"/>
  <c r="DZ17" i="8"/>
  <c r="DX17" i="8"/>
  <c r="DY17" i="8"/>
  <c r="DW17" i="8"/>
  <c r="DZ16" i="8"/>
  <c r="DX16" i="8"/>
  <c r="DY16" i="8"/>
  <c r="DW16" i="8"/>
  <c r="DZ15" i="8"/>
  <c r="DX15" i="8"/>
  <c r="DY15" i="8"/>
  <c r="DW15" i="8"/>
  <c r="DZ13" i="8"/>
  <c r="DX13" i="8"/>
  <c r="DY13" i="8"/>
  <c r="DW13" i="8"/>
  <c r="DZ12" i="8"/>
  <c r="DX12" i="8"/>
  <c r="DY12" i="8"/>
  <c r="DW12" i="8"/>
  <c r="DZ11" i="8"/>
  <c r="DX11" i="8"/>
  <c r="DY11" i="8"/>
  <c r="DW11" i="8"/>
  <c r="DZ9" i="8"/>
  <c r="DX9" i="8"/>
  <c r="DY9" i="8"/>
  <c r="DW9" i="8"/>
  <c r="DZ8" i="8"/>
  <c r="DX8" i="8"/>
  <c r="DY8" i="8"/>
  <c r="DU55" i="8" s="1"/>
  <c r="I12" i="30" s="1"/>
  <c r="DW8" i="8"/>
  <c r="DU53" i="8" s="1"/>
  <c r="S12" i="30" s="1"/>
  <c r="DZ7" i="8"/>
  <c r="DX7" i="8"/>
  <c r="DY7" i="8"/>
  <c r="DW7" i="8"/>
  <c r="DZ5" i="8"/>
  <c r="DX5" i="8"/>
  <c r="DY5" i="8"/>
  <c r="DW5" i="8"/>
  <c r="DZ4" i="8"/>
  <c r="DX4" i="8"/>
  <c r="DY4" i="8"/>
  <c r="DW4" i="8"/>
  <c r="DZ3" i="8"/>
  <c r="DX3" i="8"/>
  <c r="DY3" i="8"/>
  <c r="DW3" i="8"/>
  <c r="DH61" i="8"/>
  <c r="DF61" i="8"/>
  <c r="DE61" i="8"/>
  <c r="DN49" i="8"/>
  <c r="DL49" i="8"/>
  <c r="DM49" i="8"/>
  <c r="DK49" i="8"/>
  <c r="DN48" i="8"/>
  <c r="DL48" i="8"/>
  <c r="DM48" i="8"/>
  <c r="DK48" i="8"/>
  <c r="DN47" i="8"/>
  <c r="DL47" i="8"/>
  <c r="DM47" i="8"/>
  <c r="DK47" i="8"/>
  <c r="DN46" i="8"/>
  <c r="DL46" i="8"/>
  <c r="DM46" i="8"/>
  <c r="DK46" i="8"/>
  <c r="DN44" i="8"/>
  <c r="DL44" i="8"/>
  <c r="DM44" i="8"/>
  <c r="DK44" i="8"/>
  <c r="DN43" i="8"/>
  <c r="DL43" i="8"/>
  <c r="DM43" i="8"/>
  <c r="DK43" i="8"/>
  <c r="DN42" i="8"/>
  <c r="DL42" i="8"/>
  <c r="DM42" i="8"/>
  <c r="DK42" i="8"/>
  <c r="DN40" i="8"/>
  <c r="DL40" i="8"/>
  <c r="DM40" i="8"/>
  <c r="DK40" i="8"/>
  <c r="DN39" i="8"/>
  <c r="DL39" i="8"/>
  <c r="DM39" i="8"/>
  <c r="DK39" i="8"/>
  <c r="DN38" i="8"/>
  <c r="DL38" i="8"/>
  <c r="DM38" i="8"/>
  <c r="DK38" i="8"/>
  <c r="DN36" i="8"/>
  <c r="DL36" i="8"/>
  <c r="DM36" i="8"/>
  <c r="DK36" i="8"/>
  <c r="DN35" i="8"/>
  <c r="DL35" i="8"/>
  <c r="DM35" i="8"/>
  <c r="DK35" i="8"/>
  <c r="DN34" i="8"/>
  <c r="DL34" i="8"/>
  <c r="DM34" i="8"/>
  <c r="DK34" i="8"/>
  <c r="DN33" i="8"/>
  <c r="DL33" i="8"/>
  <c r="DM33" i="8"/>
  <c r="DK33" i="8"/>
  <c r="DN31" i="8"/>
  <c r="DL31" i="8"/>
  <c r="DM31" i="8"/>
  <c r="DK31" i="8"/>
  <c r="DN30" i="8"/>
  <c r="DL30" i="8"/>
  <c r="DM30" i="8"/>
  <c r="DK30" i="8"/>
  <c r="DN29" i="8"/>
  <c r="DL29" i="8"/>
  <c r="DM29" i="8"/>
  <c r="DK29" i="8"/>
  <c r="DN28" i="8"/>
  <c r="DL28" i="8"/>
  <c r="DM28" i="8"/>
  <c r="DK28" i="8"/>
  <c r="DN27" i="8"/>
  <c r="DL27" i="8"/>
  <c r="DM27" i="8"/>
  <c r="DK27" i="8"/>
  <c r="DN25" i="8"/>
  <c r="DL25" i="8"/>
  <c r="DM25" i="8"/>
  <c r="DK25" i="8"/>
  <c r="DN24" i="8"/>
  <c r="DL24" i="8"/>
  <c r="DM24" i="8"/>
  <c r="DK24" i="8"/>
  <c r="DN23" i="8"/>
  <c r="DL23" i="8"/>
  <c r="DM23" i="8"/>
  <c r="DK23" i="8"/>
  <c r="DN22" i="8"/>
  <c r="DL22" i="8"/>
  <c r="DM22" i="8"/>
  <c r="DK22" i="8"/>
  <c r="DN21" i="8"/>
  <c r="DL21" i="8"/>
  <c r="DM21" i="8"/>
  <c r="DK21" i="8"/>
  <c r="DN20" i="8"/>
  <c r="DL20" i="8"/>
  <c r="DM20" i="8"/>
  <c r="DK20" i="8"/>
  <c r="DN18" i="8"/>
  <c r="DL18" i="8"/>
  <c r="DM18" i="8"/>
  <c r="DK18" i="8"/>
  <c r="DN17" i="8"/>
  <c r="DL17" i="8"/>
  <c r="DM17" i="8"/>
  <c r="DK17" i="8"/>
  <c r="DN16" i="8"/>
  <c r="DL16" i="8"/>
  <c r="DM16" i="8"/>
  <c r="DK16" i="8"/>
  <c r="DN15" i="8"/>
  <c r="DL15" i="8"/>
  <c r="DM15" i="8"/>
  <c r="DK15" i="8"/>
  <c r="DN13" i="8"/>
  <c r="DL13" i="8"/>
  <c r="DM13" i="8"/>
  <c r="DK13" i="8"/>
  <c r="DN12" i="8"/>
  <c r="DL12" i="8"/>
  <c r="DM12" i="8"/>
  <c r="DK12" i="8"/>
  <c r="DN11" i="8"/>
  <c r="DL11" i="8"/>
  <c r="DM11" i="8"/>
  <c r="DK11" i="8"/>
  <c r="DN9" i="8"/>
  <c r="DL9" i="8"/>
  <c r="DM9" i="8"/>
  <c r="DK9" i="8"/>
  <c r="DN8" i="8"/>
  <c r="DL8" i="8"/>
  <c r="DM8" i="8"/>
  <c r="DK8" i="8"/>
  <c r="DN7" i="8"/>
  <c r="DL7" i="8"/>
  <c r="DM7" i="8"/>
  <c r="DK7" i="8"/>
  <c r="DN5" i="8"/>
  <c r="DL5" i="8"/>
  <c r="DM5" i="8"/>
  <c r="DK5" i="8"/>
  <c r="DN4" i="8"/>
  <c r="DL4" i="8"/>
  <c r="DM4" i="8"/>
  <c r="DK4" i="8"/>
  <c r="DN3" i="8"/>
  <c r="DL3" i="8"/>
  <c r="DM3" i="8"/>
  <c r="DK3" i="8"/>
  <c r="CV61" i="8"/>
  <c r="CT61" i="8"/>
  <c r="CS61" i="8"/>
  <c r="DB49" i="8"/>
  <c r="CZ49" i="8"/>
  <c r="DA49" i="8"/>
  <c r="CY49" i="8"/>
  <c r="DB48" i="8"/>
  <c r="CZ48" i="8"/>
  <c r="DA48" i="8"/>
  <c r="CY48" i="8"/>
  <c r="DB47" i="8"/>
  <c r="CZ47" i="8"/>
  <c r="DA47" i="8"/>
  <c r="CY47" i="8"/>
  <c r="DB46" i="8"/>
  <c r="CZ46" i="8"/>
  <c r="DA46" i="8"/>
  <c r="CY46" i="8"/>
  <c r="DB44" i="8"/>
  <c r="CZ44" i="8"/>
  <c r="DA44" i="8"/>
  <c r="CY44" i="8"/>
  <c r="DB43" i="8"/>
  <c r="CZ43" i="8"/>
  <c r="DA43" i="8"/>
  <c r="CY43" i="8"/>
  <c r="DB42" i="8"/>
  <c r="CZ42" i="8"/>
  <c r="DA42" i="8"/>
  <c r="CY42" i="8"/>
  <c r="DB40" i="8"/>
  <c r="CZ40" i="8"/>
  <c r="DA40" i="8"/>
  <c r="CY40" i="8"/>
  <c r="DB39" i="8"/>
  <c r="CZ39" i="8"/>
  <c r="DA39" i="8"/>
  <c r="CY39" i="8"/>
  <c r="DB38" i="8"/>
  <c r="CZ38" i="8"/>
  <c r="DA38" i="8"/>
  <c r="CY38" i="8"/>
  <c r="DB36" i="8"/>
  <c r="CZ36" i="8"/>
  <c r="DA36" i="8"/>
  <c r="CY36" i="8"/>
  <c r="DB35" i="8"/>
  <c r="CZ35" i="8"/>
  <c r="DA35" i="8"/>
  <c r="CY35" i="8"/>
  <c r="DB34" i="8"/>
  <c r="CZ34" i="8"/>
  <c r="DA34" i="8"/>
  <c r="CY34" i="8"/>
  <c r="DB33" i="8"/>
  <c r="CZ33" i="8"/>
  <c r="DA33" i="8"/>
  <c r="CY33" i="8"/>
  <c r="DB31" i="8"/>
  <c r="CZ31" i="8"/>
  <c r="DA31" i="8"/>
  <c r="CY31" i="8"/>
  <c r="DB30" i="8"/>
  <c r="CZ30" i="8"/>
  <c r="DA30" i="8"/>
  <c r="CY30" i="8"/>
  <c r="DB29" i="8"/>
  <c r="CZ29" i="8"/>
  <c r="DA29" i="8"/>
  <c r="CY29" i="8"/>
  <c r="DB28" i="8"/>
  <c r="CZ28" i="8"/>
  <c r="DA28" i="8"/>
  <c r="CY28" i="8"/>
  <c r="DB27" i="8"/>
  <c r="CZ27" i="8"/>
  <c r="DA27" i="8"/>
  <c r="CY27" i="8"/>
  <c r="DB25" i="8"/>
  <c r="CZ25" i="8"/>
  <c r="DA25" i="8"/>
  <c r="CY25" i="8"/>
  <c r="DB24" i="8"/>
  <c r="CZ24" i="8"/>
  <c r="DA24" i="8"/>
  <c r="CY24" i="8"/>
  <c r="DB23" i="8"/>
  <c r="CZ23" i="8"/>
  <c r="DA23" i="8"/>
  <c r="CY23" i="8"/>
  <c r="DB22" i="8"/>
  <c r="CZ22" i="8"/>
  <c r="DA22" i="8"/>
  <c r="CY22" i="8"/>
  <c r="DB21" i="8"/>
  <c r="CZ21" i="8"/>
  <c r="DA21" i="8"/>
  <c r="CY21" i="8"/>
  <c r="DB20" i="8"/>
  <c r="CZ20" i="8"/>
  <c r="DA20" i="8"/>
  <c r="CY20" i="8"/>
  <c r="DB18" i="8"/>
  <c r="CZ18" i="8"/>
  <c r="DA18" i="8"/>
  <c r="CY18" i="8"/>
  <c r="DB17" i="8"/>
  <c r="CZ17" i="8"/>
  <c r="DA17" i="8"/>
  <c r="CY17" i="8"/>
  <c r="DB16" i="8"/>
  <c r="CZ16" i="8"/>
  <c r="DA16" i="8"/>
  <c r="CY16" i="8"/>
  <c r="DB15" i="8"/>
  <c r="CZ15" i="8"/>
  <c r="DA15" i="8"/>
  <c r="CY15" i="8"/>
  <c r="DB13" i="8"/>
  <c r="CZ13" i="8"/>
  <c r="DA13" i="8"/>
  <c r="CY13" i="8"/>
  <c r="DB12" i="8"/>
  <c r="CZ12" i="8"/>
  <c r="DA12" i="8"/>
  <c r="CY12" i="8"/>
  <c r="DB11" i="8"/>
  <c r="CZ11" i="8"/>
  <c r="DA11" i="8"/>
  <c r="CY11" i="8"/>
  <c r="DB9" i="8"/>
  <c r="CZ9" i="8"/>
  <c r="DA9" i="8"/>
  <c r="CY9" i="8"/>
  <c r="DB8" i="8"/>
  <c r="CZ8" i="8"/>
  <c r="DA8" i="8"/>
  <c r="CY8" i="8"/>
  <c r="DB7" i="8"/>
  <c r="CZ7" i="8"/>
  <c r="DA7" i="8"/>
  <c r="CY7" i="8"/>
  <c r="DB5" i="8"/>
  <c r="CZ5" i="8"/>
  <c r="DA5" i="8"/>
  <c r="CY5" i="8"/>
  <c r="DB4" i="8"/>
  <c r="CZ4" i="8"/>
  <c r="DA4" i="8"/>
  <c r="CY4" i="8"/>
  <c r="DB3" i="8"/>
  <c r="CZ3" i="8"/>
  <c r="DA3" i="8"/>
  <c r="CY3" i="8"/>
  <c r="CJ61" i="8"/>
  <c r="CH61" i="8"/>
  <c r="CG61" i="8"/>
  <c r="CP49" i="8"/>
  <c r="CN49" i="8"/>
  <c r="CO49" i="8"/>
  <c r="CM49" i="8"/>
  <c r="CP48" i="8"/>
  <c r="CN48" i="8"/>
  <c r="CO48" i="8"/>
  <c r="CM48" i="8"/>
  <c r="CP47" i="8"/>
  <c r="CN47" i="8"/>
  <c r="CO47" i="8"/>
  <c r="CM47" i="8"/>
  <c r="CP46" i="8"/>
  <c r="CN46" i="8"/>
  <c r="CO46" i="8"/>
  <c r="CM46" i="8"/>
  <c r="CP44" i="8"/>
  <c r="CN44" i="8"/>
  <c r="CO44" i="8"/>
  <c r="CM44" i="8"/>
  <c r="CP43" i="8"/>
  <c r="CN43" i="8"/>
  <c r="CO43" i="8"/>
  <c r="CM43" i="8"/>
  <c r="CP42" i="8"/>
  <c r="CN42" i="8"/>
  <c r="CO42" i="8"/>
  <c r="CM42" i="8"/>
  <c r="CP40" i="8"/>
  <c r="CN40" i="8"/>
  <c r="CO40" i="8"/>
  <c r="CM40" i="8"/>
  <c r="CP39" i="8"/>
  <c r="CN39" i="8"/>
  <c r="CO39" i="8"/>
  <c r="CM39" i="8"/>
  <c r="CP38" i="8"/>
  <c r="CN38" i="8"/>
  <c r="CO38" i="8"/>
  <c r="CM38" i="8"/>
  <c r="CP36" i="8"/>
  <c r="CN36" i="8"/>
  <c r="CO36" i="8"/>
  <c r="CM36" i="8"/>
  <c r="CP35" i="8"/>
  <c r="CN35" i="8"/>
  <c r="CO35" i="8"/>
  <c r="CM35" i="8"/>
  <c r="CP34" i="8"/>
  <c r="CN34" i="8"/>
  <c r="CO34" i="8"/>
  <c r="CM34" i="8"/>
  <c r="CP33" i="8"/>
  <c r="CN33" i="8"/>
  <c r="CO33" i="8"/>
  <c r="CM33" i="8"/>
  <c r="CP31" i="8"/>
  <c r="CN31" i="8"/>
  <c r="CO31" i="8"/>
  <c r="CM31" i="8"/>
  <c r="CP30" i="8"/>
  <c r="CN30" i="8"/>
  <c r="CO30" i="8"/>
  <c r="CM30" i="8"/>
  <c r="CP29" i="8"/>
  <c r="CN29" i="8"/>
  <c r="CO29" i="8"/>
  <c r="CM29" i="8"/>
  <c r="CP28" i="8"/>
  <c r="CN28" i="8"/>
  <c r="CO28" i="8"/>
  <c r="CM28" i="8"/>
  <c r="CP27" i="8"/>
  <c r="CN27" i="8"/>
  <c r="CO27" i="8"/>
  <c r="CM27" i="8"/>
  <c r="CP25" i="8"/>
  <c r="CN25" i="8"/>
  <c r="CO25" i="8"/>
  <c r="CM25" i="8"/>
  <c r="CP24" i="8"/>
  <c r="CN24" i="8"/>
  <c r="CO24" i="8"/>
  <c r="CM24" i="8"/>
  <c r="CP23" i="8"/>
  <c r="CN23" i="8"/>
  <c r="CO23" i="8"/>
  <c r="CM23" i="8"/>
  <c r="CP22" i="8"/>
  <c r="CN22" i="8"/>
  <c r="CO22" i="8"/>
  <c r="CM22" i="8"/>
  <c r="CP21" i="8"/>
  <c r="CN21" i="8"/>
  <c r="CO21" i="8"/>
  <c r="CM21" i="8"/>
  <c r="CP20" i="8"/>
  <c r="CN20" i="8"/>
  <c r="CO20" i="8"/>
  <c r="CM20" i="8"/>
  <c r="CP18" i="8"/>
  <c r="CN18" i="8"/>
  <c r="CO18" i="8"/>
  <c r="CM18" i="8"/>
  <c r="CP17" i="8"/>
  <c r="CN17" i="8"/>
  <c r="CO17" i="8"/>
  <c r="CM17" i="8"/>
  <c r="CP16" i="8"/>
  <c r="CN16" i="8"/>
  <c r="CO16" i="8"/>
  <c r="CM16" i="8"/>
  <c r="CP15" i="8"/>
  <c r="CN15" i="8"/>
  <c r="CO15" i="8"/>
  <c r="CM15" i="8"/>
  <c r="CP13" i="8"/>
  <c r="CN13" i="8"/>
  <c r="CO13" i="8"/>
  <c r="CM13" i="8"/>
  <c r="CP12" i="8"/>
  <c r="CN12" i="8"/>
  <c r="CO12" i="8"/>
  <c r="CM12" i="8"/>
  <c r="CP11" i="8"/>
  <c r="CN11" i="8"/>
  <c r="CO11" i="8"/>
  <c r="CM11" i="8"/>
  <c r="CP9" i="8"/>
  <c r="CN9" i="8"/>
  <c r="CO9" i="8"/>
  <c r="CM9" i="8"/>
  <c r="CP8" i="8"/>
  <c r="CN8" i="8"/>
  <c r="CO8" i="8"/>
  <c r="CM8" i="8"/>
  <c r="CK53" i="8" s="1"/>
  <c r="S9" i="30" s="1"/>
  <c r="CP7" i="8"/>
  <c r="CN7" i="8"/>
  <c r="CO7" i="8"/>
  <c r="CM7" i="8"/>
  <c r="CP5" i="8"/>
  <c r="CN5" i="8"/>
  <c r="CO5" i="8"/>
  <c r="CM5" i="8"/>
  <c r="CP4" i="8"/>
  <c r="CN4" i="8"/>
  <c r="CO4" i="8"/>
  <c r="CM4" i="8"/>
  <c r="CP3" i="8"/>
  <c r="CN3" i="8"/>
  <c r="CO3" i="8"/>
  <c r="CM3" i="8"/>
  <c r="BX61" i="8"/>
  <c r="BV61" i="8"/>
  <c r="BU61" i="8"/>
  <c r="CD49" i="8"/>
  <c r="CB49" i="8"/>
  <c r="CC49" i="8"/>
  <c r="CA49" i="8"/>
  <c r="CD48" i="8"/>
  <c r="CB48" i="8"/>
  <c r="CC48" i="8"/>
  <c r="CA48" i="8"/>
  <c r="CD47" i="8"/>
  <c r="CB47" i="8"/>
  <c r="CC47" i="8"/>
  <c r="CA47" i="8"/>
  <c r="CD46" i="8"/>
  <c r="CB46" i="8"/>
  <c r="CC46" i="8"/>
  <c r="CA46" i="8"/>
  <c r="CD44" i="8"/>
  <c r="CB44" i="8"/>
  <c r="CC44" i="8"/>
  <c r="CA44" i="8"/>
  <c r="CD43" i="8"/>
  <c r="CB43" i="8"/>
  <c r="CC43" i="8"/>
  <c r="CA43" i="8"/>
  <c r="CD42" i="8"/>
  <c r="CB42" i="8"/>
  <c r="CC42" i="8"/>
  <c r="CA42" i="8"/>
  <c r="CD40" i="8"/>
  <c r="CB40" i="8"/>
  <c r="CC40" i="8"/>
  <c r="CA40" i="8"/>
  <c r="CD39" i="8"/>
  <c r="CB39" i="8"/>
  <c r="CC39" i="8"/>
  <c r="CA39" i="8"/>
  <c r="CD38" i="8"/>
  <c r="CB38" i="8"/>
  <c r="CC38" i="8"/>
  <c r="CA38" i="8"/>
  <c r="CD36" i="8"/>
  <c r="CB36" i="8"/>
  <c r="CC36" i="8"/>
  <c r="CA36" i="8"/>
  <c r="CD35" i="8"/>
  <c r="CB35" i="8"/>
  <c r="CC35" i="8"/>
  <c r="CA35" i="8"/>
  <c r="CD34" i="8"/>
  <c r="CB34" i="8"/>
  <c r="CC34" i="8"/>
  <c r="CA34" i="8"/>
  <c r="CD33" i="8"/>
  <c r="CB33" i="8"/>
  <c r="CC33" i="8"/>
  <c r="CA33" i="8"/>
  <c r="CD31" i="8"/>
  <c r="CB31" i="8"/>
  <c r="CC31" i="8"/>
  <c r="CA31" i="8"/>
  <c r="CD30" i="8"/>
  <c r="CB30" i="8"/>
  <c r="CC30" i="8"/>
  <c r="CA30" i="8"/>
  <c r="CD29" i="8"/>
  <c r="CB29" i="8"/>
  <c r="CC29" i="8"/>
  <c r="CA29" i="8"/>
  <c r="CD28" i="8"/>
  <c r="CB28" i="8"/>
  <c r="CC28" i="8"/>
  <c r="CA28" i="8"/>
  <c r="CD27" i="8"/>
  <c r="CB27" i="8"/>
  <c r="CC27" i="8"/>
  <c r="CA27" i="8"/>
  <c r="CD25" i="8"/>
  <c r="CB25" i="8"/>
  <c r="CC25" i="8"/>
  <c r="CA25" i="8"/>
  <c r="CD24" i="8"/>
  <c r="CB24" i="8"/>
  <c r="CC24" i="8"/>
  <c r="CA24" i="8"/>
  <c r="CD23" i="8"/>
  <c r="CB23" i="8"/>
  <c r="CC23" i="8"/>
  <c r="CA23" i="8"/>
  <c r="CD22" i="8"/>
  <c r="CB22" i="8"/>
  <c r="CC22" i="8"/>
  <c r="CA22" i="8"/>
  <c r="CD21" i="8"/>
  <c r="CB21" i="8"/>
  <c r="CC21" i="8"/>
  <c r="CA21" i="8"/>
  <c r="CD20" i="8"/>
  <c r="CB20" i="8"/>
  <c r="CC20" i="8"/>
  <c r="CA20" i="8"/>
  <c r="CD18" i="8"/>
  <c r="CB18" i="8"/>
  <c r="CC18" i="8"/>
  <c r="CA18" i="8"/>
  <c r="CD17" i="8"/>
  <c r="CB17" i="8"/>
  <c r="CC17" i="8"/>
  <c r="CA17" i="8"/>
  <c r="CD16" i="8"/>
  <c r="CB16" i="8"/>
  <c r="CC16" i="8"/>
  <c r="CA16" i="8"/>
  <c r="CD15" i="8"/>
  <c r="CB15" i="8"/>
  <c r="CC15" i="8"/>
  <c r="CA15" i="8"/>
  <c r="CD13" i="8"/>
  <c r="CB13" i="8"/>
  <c r="CC13" i="8"/>
  <c r="CA13" i="8"/>
  <c r="CD12" i="8"/>
  <c r="CB12" i="8"/>
  <c r="CC12" i="8"/>
  <c r="CA12" i="8"/>
  <c r="CD11" i="8"/>
  <c r="CB11" i="8"/>
  <c r="CC11" i="8"/>
  <c r="CA11" i="8"/>
  <c r="CD9" i="8"/>
  <c r="CB9" i="8"/>
  <c r="CC9" i="8"/>
  <c r="CA9" i="8"/>
  <c r="CD8" i="8"/>
  <c r="CB8" i="8"/>
  <c r="CC8" i="8"/>
  <c r="CA8" i="8"/>
  <c r="BY53" i="8" s="1"/>
  <c r="S8" i="30" s="1"/>
  <c r="CD7" i="8"/>
  <c r="CB7" i="8"/>
  <c r="CC7" i="8"/>
  <c r="CA7" i="8"/>
  <c r="CD5" i="8"/>
  <c r="CB5" i="8"/>
  <c r="CC5" i="8"/>
  <c r="CA5" i="8"/>
  <c r="CD4" i="8"/>
  <c r="CB4" i="8"/>
  <c r="CC4" i="8"/>
  <c r="CA4" i="8"/>
  <c r="CD3" i="8"/>
  <c r="CB3" i="8"/>
  <c r="CC3" i="8"/>
  <c r="CA3" i="8"/>
  <c r="BL61" i="8"/>
  <c r="BJ61" i="8"/>
  <c r="BI61" i="8"/>
  <c r="BR49" i="8"/>
  <c r="BP49" i="8"/>
  <c r="BQ49" i="8"/>
  <c r="BO49" i="8"/>
  <c r="BR48" i="8"/>
  <c r="BP48" i="8"/>
  <c r="BQ48" i="8"/>
  <c r="BO48" i="8"/>
  <c r="BR47" i="8"/>
  <c r="BP47" i="8"/>
  <c r="BQ47" i="8"/>
  <c r="BO47" i="8"/>
  <c r="BR46" i="8"/>
  <c r="BP46" i="8"/>
  <c r="BQ46" i="8"/>
  <c r="BO46" i="8"/>
  <c r="BR44" i="8"/>
  <c r="BP44" i="8"/>
  <c r="BQ44" i="8"/>
  <c r="BO44" i="8"/>
  <c r="BR43" i="8"/>
  <c r="BP43" i="8"/>
  <c r="BQ43" i="8"/>
  <c r="BO43" i="8"/>
  <c r="BR42" i="8"/>
  <c r="BP42" i="8"/>
  <c r="BQ42" i="8"/>
  <c r="BO42" i="8"/>
  <c r="BR40" i="8"/>
  <c r="BP40" i="8"/>
  <c r="BQ40" i="8"/>
  <c r="BO40" i="8"/>
  <c r="BR39" i="8"/>
  <c r="BP39" i="8"/>
  <c r="BQ39" i="8"/>
  <c r="BO39" i="8"/>
  <c r="BR38" i="8"/>
  <c r="BP38" i="8"/>
  <c r="BQ38" i="8"/>
  <c r="BO38" i="8"/>
  <c r="BR36" i="8"/>
  <c r="BP36" i="8"/>
  <c r="BQ36" i="8"/>
  <c r="BO36" i="8"/>
  <c r="BR35" i="8"/>
  <c r="BP35" i="8"/>
  <c r="BQ35" i="8"/>
  <c r="BO35" i="8"/>
  <c r="BR34" i="8"/>
  <c r="BP34" i="8"/>
  <c r="BQ34" i="8"/>
  <c r="BO34" i="8"/>
  <c r="BR33" i="8"/>
  <c r="BP33" i="8"/>
  <c r="BQ33" i="8"/>
  <c r="BO33" i="8"/>
  <c r="BR31" i="8"/>
  <c r="BP31" i="8"/>
  <c r="BQ31" i="8"/>
  <c r="BO31" i="8"/>
  <c r="BR30" i="8"/>
  <c r="BP30" i="8"/>
  <c r="BQ30" i="8"/>
  <c r="BO30" i="8"/>
  <c r="BR29" i="8"/>
  <c r="BP29" i="8"/>
  <c r="BQ29" i="8"/>
  <c r="BO29" i="8"/>
  <c r="BR28" i="8"/>
  <c r="BP28" i="8"/>
  <c r="BQ28" i="8"/>
  <c r="BO28" i="8"/>
  <c r="BR27" i="8"/>
  <c r="BP27" i="8"/>
  <c r="BQ27" i="8"/>
  <c r="BO27" i="8"/>
  <c r="BR25" i="8"/>
  <c r="BP25" i="8"/>
  <c r="BQ25" i="8"/>
  <c r="BO25" i="8"/>
  <c r="BR24" i="8"/>
  <c r="BP24" i="8"/>
  <c r="BQ24" i="8"/>
  <c r="BO24" i="8"/>
  <c r="BR23" i="8"/>
  <c r="BP23" i="8"/>
  <c r="BQ23" i="8"/>
  <c r="BO23" i="8"/>
  <c r="BR22" i="8"/>
  <c r="BP22" i="8"/>
  <c r="BQ22" i="8"/>
  <c r="BO22" i="8"/>
  <c r="BR21" i="8"/>
  <c r="BP21" i="8"/>
  <c r="BQ21" i="8"/>
  <c r="BO21" i="8"/>
  <c r="BR20" i="8"/>
  <c r="BP20" i="8"/>
  <c r="BQ20" i="8"/>
  <c r="BO20" i="8"/>
  <c r="BR18" i="8"/>
  <c r="BP18" i="8"/>
  <c r="BQ18" i="8"/>
  <c r="BO18" i="8"/>
  <c r="BR17" i="8"/>
  <c r="BP17" i="8"/>
  <c r="BQ17" i="8"/>
  <c r="BO17" i="8"/>
  <c r="BR16" i="8"/>
  <c r="BP16" i="8"/>
  <c r="BQ16" i="8"/>
  <c r="BO16" i="8"/>
  <c r="BR15" i="8"/>
  <c r="BP15" i="8"/>
  <c r="BQ15" i="8"/>
  <c r="BO15" i="8"/>
  <c r="BR13" i="8"/>
  <c r="BP13" i="8"/>
  <c r="BQ13" i="8"/>
  <c r="BO13" i="8"/>
  <c r="BR12" i="8"/>
  <c r="BP12" i="8"/>
  <c r="BQ12" i="8"/>
  <c r="BO12" i="8"/>
  <c r="BR11" i="8"/>
  <c r="BP11" i="8"/>
  <c r="BQ11" i="8"/>
  <c r="BO11" i="8"/>
  <c r="BR9" i="8"/>
  <c r="BP9" i="8"/>
  <c r="BQ9" i="8"/>
  <c r="BO9" i="8"/>
  <c r="BR8" i="8"/>
  <c r="BP8" i="8"/>
  <c r="BQ8" i="8"/>
  <c r="BO8" i="8"/>
  <c r="BR7" i="8"/>
  <c r="BP7" i="8"/>
  <c r="BQ7" i="8"/>
  <c r="BO7" i="8"/>
  <c r="BR5" i="8"/>
  <c r="BP5" i="8"/>
  <c r="BQ5" i="8"/>
  <c r="BO5" i="8"/>
  <c r="BR4" i="8"/>
  <c r="BP4" i="8"/>
  <c r="BQ4" i="8"/>
  <c r="BO4" i="8"/>
  <c r="BR3" i="8"/>
  <c r="BP3" i="8"/>
  <c r="BQ3" i="8"/>
  <c r="BO3" i="8"/>
  <c r="I6" i="30"/>
  <c r="AZ61" i="8"/>
  <c r="AX61" i="8"/>
  <c r="AW61" i="8"/>
  <c r="BF49" i="8"/>
  <c r="BD49" i="8"/>
  <c r="BE49" i="8"/>
  <c r="BC49" i="8"/>
  <c r="BF48" i="8"/>
  <c r="BD48" i="8"/>
  <c r="BE48" i="8"/>
  <c r="BC48" i="8"/>
  <c r="BF47" i="8"/>
  <c r="BD47" i="8"/>
  <c r="BE47" i="8"/>
  <c r="BC47" i="8"/>
  <c r="BF46" i="8"/>
  <c r="BD46" i="8"/>
  <c r="BE46" i="8"/>
  <c r="BC46" i="8"/>
  <c r="BF44" i="8"/>
  <c r="BD44" i="8"/>
  <c r="BE44" i="8"/>
  <c r="BC44" i="8"/>
  <c r="BF43" i="8"/>
  <c r="BD43" i="8"/>
  <c r="BE43" i="8"/>
  <c r="BC43" i="8"/>
  <c r="BF42" i="8"/>
  <c r="BD42" i="8"/>
  <c r="BE42" i="8"/>
  <c r="BC42" i="8"/>
  <c r="BF40" i="8"/>
  <c r="BD40" i="8"/>
  <c r="BE40" i="8"/>
  <c r="BC40" i="8"/>
  <c r="BF39" i="8"/>
  <c r="BD39" i="8"/>
  <c r="BE39" i="8"/>
  <c r="BC39" i="8"/>
  <c r="BF38" i="8"/>
  <c r="BD38" i="8"/>
  <c r="BE38" i="8"/>
  <c r="BC38" i="8"/>
  <c r="BF36" i="8"/>
  <c r="BD36" i="8"/>
  <c r="BE36" i="8"/>
  <c r="BC36" i="8"/>
  <c r="BF35" i="8"/>
  <c r="BD35" i="8"/>
  <c r="BE35" i="8"/>
  <c r="BC35" i="8"/>
  <c r="BF34" i="8"/>
  <c r="BD34" i="8"/>
  <c r="BE34" i="8"/>
  <c r="BC34" i="8"/>
  <c r="BF33" i="8"/>
  <c r="BD33" i="8"/>
  <c r="BE33" i="8"/>
  <c r="BC33" i="8"/>
  <c r="BF31" i="8"/>
  <c r="BD31" i="8"/>
  <c r="BE31" i="8"/>
  <c r="BC31" i="8"/>
  <c r="BF30" i="8"/>
  <c r="BD30" i="8"/>
  <c r="BE30" i="8"/>
  <c r="BC30" i="8"/>
  <c r="BF29" i="8"/>
  <c r="BD29" i="8"/>
  <c r="BE29" i="8"/>
  <c r="BC29" i="8"/>
  <c r="BF28" i="8"/>
  <c r="BD28" i="8"/>
  <c r="BE28" i="8"/>
  <c r="BC28" i="8"/>
  <c r="BF27" i="8"/>
  <c r="BD27" i="8"/>
  <c r="BE27" i="8"/>
  <c r="BC27" i="8"/>
  <c r="BF25" i="8"/>
  <c r="BD25" i="8"/>
  <c r="BE25" i="8"/>
  <c r="BC25" i="8"/>
  <c r="BF24" i="8"/>
  <c r="BD24" i="8"/>
  <c r="BE24" i="8"/>
  <c r="BC24" i="8"/>
  <c r="BF23" i="8"/>
  <c r="BD23" i="8"/>
  <c r="BE23" i="8"/>
  <c r="BC23" i="8"/>
  <c r="BF22" i="8"/>
  <c r="BD22" i="8"/>
  <c r="BE22" i="8"/>
  <c r="BC22" i="8"/>
  <c r="BF21" i="8"/>
  <c r="BD21" i="8"/>
  <c r="BE21" i="8"/>
  <c r="BC21" i="8"/>
  <c r="BF20" i="8"/>
  <c r="BD20" i="8"/>
  <c r="BE20" i="8"/>
  <c r="BC20" i="8"/>
  <c r="BF18" i="8"/>
  <c r="BD18" i="8"/>
  <c r="BE18" i="8"/>
  <c r="BC18" i="8"/>
  <c r="BF17" i="8"/>
  <c r="BD17" i="8"/>
  <c r="BE17" i="8"/>
  <c r="BC17" i="8"/>
  <c r="BF16" i="8"/>
  <c r="BD16" i="8"/>
  <c r="BE16" i="8"/>
  <c r="BC16" i="8"/>
  <c r="BF15" i="8"/>
  <c r="BD15" i="8"/>
  <c r="BE15" i="8"/>
  <c r="BC15" i="8"/>
  <c r="BF13" i="8"/>
  <c r="BD13" i="8"/>
  <c r="BE13" i="8"/>
  <c r="BC13" i="8"/>
  <c r="BF12" i="8"/>
  <c r="BD12" i="8"/>
  <c r="BE12" i="8"/>
  <c r="BC12" i="8"/>
  <c r="BF11" i="8"/>
  <c r="BD11" i="8"/>
  <c r="BE11" i="8"/>
  <c r="BC11" i="8"/>
  <c r="BF9" i="8"/>
  <c r="BD9" i="8"/>
  <c r="BE9" i="8"/>
  <c r="BC9" i="8"/>
  <c r="BF8" i="8"/>
  <c r="BD8" i="8"/>
  <c r="BE8" i="8"/>
  <c r="BC8" i="8"/>
  <c r="BF7" i="8"/>
  <c r="BD7" i="8"/>
  <c r="BE7" i="8"/>
  <c r="BC7" i="8"/>
  <c r="BF5" i="8"/>
  <c r="BD5" i="8"/>
  <c r="BE5" i="8"/>
  <c r="BC5" i="8"/>
  <c r="BF4" i="8"/>
  <c r="BD4" i="8"/>
  <c r="BE4" i="8"/>
  <c r="BC4" i="8"/>
  <c r="BF3" i="8"/>
  <c r="AX58" i="8" s="1"/>
  <c r="G6" i="30" s="1"/>
  <c r="BD3" i="8"/>
  <c r="BE3" i="8"/>
  <c r="BA55" i="8" s="1"/>
  <c r="BC3" i="8"/>
  <c r="AN61" i="8"/>
  <c r="AL61" i="8"/>
  <c r="AK61" i="8"/>
  <c r="AT49" i="8"/>
  <c r="AR49" i="8"/>
  <c r="AS49" i="8"/>
  <c r="AQ49" i="8"/>
  <c r="AT48" i="8"/>
  <c r="AR48" i="8"/>
  <c r="AS48" i="8"/>
  <c r="AQ48" i="8"/>
  <c r="AT47" i="8"/>
  <c r="AR47" i="8"/>
  <c r="AS47" i="8"/>
  <c r="AQ47" i="8"/>
  <c r="AT46" i="8"/>
  <c r="AR46" i="8"/>
  <c r="AS46" i="8"/>
  <c r="AQ46" i="8"/>
  <c r="AT44" i="8"/>
  <c r="AR44" i="8"/>
  <c r="AS44" i="8"/>
  <c r="AQ44" i="8"/>
  <c r="AT43" i="8"/>
  <c r="AR43" i="8"/>
  <c r="AS43" i="8"/>
  <c r="AQ43" i="8"/>
  <c r="AT42" i="8"/>
  <c r="AR42" i="8"/>
  <c r="AS42" i="8"/>
  <c r="AQ42" i="8"/>
  <c r="AT40" i="8"/>
  <c r="AR40" i="8"/>
  <c r="AS40" i="8"/>
  <c r="AQ40" i="8"/>
  <c r="AT39" i="8"/>
  <c r="AR39" i="8"/>
  <c r="AS39" i="8"/>
  <c r="AQ39" i="8"/>
  <c r="AT38" i="8"/>
  <c r="AR38" i="8"/>
  <c r="AS38" i="8"/>
  <c r="AQ38" i="8"/>
  <c r="AT36" i="8"/>
  <c r="AR36" i="8"/>
  <c r="AS36" i="8"/>
  <c r="AQ36" i="8"/>
  <c r="AT35" i="8"/>
  <c r="AR35" i="8"/>
  <c r="AS35" i="8"/>
  <c r="AQ35" i="8"/>
  <c r="AT34" i="8"/>
  <c r="AR34" i="8"/>
  <c r="AS34" i="8"/>
  <c r="AQ34" i="8"/>
  <c r="AT33" i="8"/>
  <c r="AR33" i="8"/>
  <c r="AS33" i="8"/>
  <c r="AQ33" i="8"/>
  <c r="AT31" i="8"/>
  <c r="AR31" i="8"/>
  <c r="AS31" i="8"/>
  <c r="AQ31" i="8"/>
  <c r="AT30" i="8"/>
  <c r="AR30" i="8"/>
  <c r="AS30" i="8"/>
  <c r="AQ30" i="8"/>
  <c r="AT29" i="8"/>
  <c r="AR29" i="8"/>
  <c r="AS29" i="8"/>
  <c r="AQ29" i="8"/>
  <c r="AT28" i="8"/>
  <c r="AR28" i="8"/>
  <c r="AS28" i="8"/>
  <c r="AQ28" i="8"/>
  <c r="AT27" i="8"/>
  <c r="AR27" i="8"/>
  <c r="AS27" i="8"/>
  <c r="AQ27" i="8"/>
  <c r="AT25" i="8"/>
  <c r="AR25" i="8"/>
  <c r="AS25" i="8"/>
  <c r="AQ25" i="8"/>
  <c r="AT24" i="8"/>
  <c r="AR24" i="8"/>
  <c r="AS24" i="8"/>
  <c r="AQ24" i="8"/>
  <c r="AT23" i="8"/>
  <c r="AR23" i="8"/>
  <c r="AS23" i="8"/>
  <c r="AQ23" i="8"/>
  <c r="AT22" i="8"/>
  <c r="AR22" i="8"/>
  <c r="AS22" i="8"/>
  <c r="AQ22" i="8"/>
  <c r="AT21" i="8"/>
  <c r="AR21" i="8"/>
  <c r="AS21" i="8"/>
  <c r="AQ21" i="8"/>
  <c r="AT20" i="8"/>
  <c r="AR20" i="8"/>
  <c r="AS20" i="8"/>
  <c r="AQ20" i="8"/>
  <c r="AT18" i="8"/>
  <c r="AR18" i="8"/>
  <c r="AS18" i="8"/>
  <c r="AQ18" i="8"/>
  <c r="AT17" i="8"/>
  <c r="AR17" i="8"/>
  <c r="AS17" i="8"/>
  <c r="AQ17" i="8"/>
  <c r="AT16" i="8"/>
  <c r="AR16" i="8"/>
  <c r="AS16" i="8"/>
  <c r="AQ16" i="8"/>
  <c r="AT15" i="8"/>
  <c r="AR15" i="8"/>
  <c r="AS15" i="8"/>
  <c r="AQ15" i="8"/>
  <c r="AT13" i="8"/>
  <c r="AR13" i="8"/>
  <c r="AS13" i="8"/>
  <c r="AQ13" i="8"/>
  <c r="AT12" i="8"/>
  <c r="AR12" i="8"/>
  <c r="AS12" i="8"/>
  <c r="AQ12" i="8"/>
  <c r="AT11" i="8"/>
  <c r="AR11" i="8"/>
  <c r="AS11" i="8"/>
  <c r="AQ11" i="8"/>
  <c r="AT9" i="8"/>
  <c r="AR9" i="8"/>
  <c r="AS9" i="8"/>
  <c r="AQ9" i="8"/>
  <c r="AT8" i="8"/>
  <c r="AR8" i="8"/>
  <c r="AS8" i="8"/>
  <c r="AQ8" i="8"/>
  <c r="AT7" i="8"/>
  <c r="AR7" i="8"/>
  <c r="AS7" i="8"/>
  <c r="AQ7" i="8"/>
  <c r="AT5" i="8"/>
  <c r="AR5" i="8"/>
  <c r="AS5" i="8"/>
  <c r="AQ5" i="8"/>
  <c r="AT4" i="8"/>
  <c r="AR4" i="8"/>
  <c r="AS4" i="8"/>
  <c r="AQ4" i="8"/>
  <c r="AT3" i="8"/>
  <c r="AR3" i="8"/>
  <c r="AS3" i="8"/>
  <c r="AQ3" i="8"/>
  <c r="AB61" i="8"/>
  <c r="Z61" i="8"/>
  <c r="Y61" i="8"/>
  <c r="AH49" i="8"/>
  <c r="AF49" i="8"/>
  <c r="AG49" i="8"/>
  <c r="AE49" i="8"/>
  <c r="AH48" i="8"/>
  <c r="AF48" i="8"/>
  <c r="AG48" i="8"/>
  <c r="AE48" i="8"/>
  <c r="AH47" i="8"/>
  <c r="AF47" i="8"/>
  <c r="AG47" i="8"/>
  <c r="AE47" i="8"/>
  <c r="AH46" i="8"/>
  <c r="AF46" i="8"/>
  <c r="AG46" i="8"/>
  <c r="AE46" i="8"/>
  <c r="AH44" i="8"/>
  <c r="AF44" i="8"/>
  <c r="AG44" i="8"/>
  <c r="AE44" i="8"/>
  <c r="AH43" i="8"/>
  <c r="AF43" i="8"/>
  <c r="AG43" i="8"/>
  <c r="AE43" i="8"/>
  <c r="AH42" i="8"/>
  <c r="AF42" i="8"/>
  <c r="AG42" i="8"/>
  <c r="AE42" i="8"/>
  <c r="AH40" i="8"/>
  <c r="AF40" i="8"/>
  <c r="AG40" i="8"/>
  <c r="AE40" i="8"/>
  <c r="AH39" i="8"/>
  <c r="AF39" i="8"/>
  <c r="AG39" i="8"/>
  <c r="AE39" i="8"/>
  <c r="AH38" i="8"/>
  <c r="AF38" i="8"/>
  <c r="AG38" i="8"/>
  <c r="AE38" i="8"/>
  <c r="AH36" i="8"/>
  <c r="AF36" i="8"/>
  <c r="AG36" i="8"/>
  <c r="AE36" i="8"/>
  <c r="AH35" i="8"/>
  <c r="AF35" i="8"/>
  <c r="AG35" i="8"/>
  <c r="AE35" i="8"/>
  <c r="AH34" i="8"/>
  <c r="AF34" i="8"/>
  <c r="AG34" i="8"/>
  <c r="AE34" i="8"/>
  <c r="AH33" i="8"/>
  <c r="AF33" i="8"/>
  <c r="AG33" i="8"/>
  <c r="AE33" i="8"/>
  <c r="AH31" i="8"/>
  <c r="AF31" i="8"/>
  <c r="AG31" i="8"/>
  <c r="AE31" i="8"/>
  <c r="AC53" i="8" s="1"/>
  <c r="S4" i="30" s="1"/>
  <c r="AH30" i="8"/>
  <c r="AF30" i="8"/>
  <c r="AG30" i="8"/>
  <c r="AE30" i="8"/>
  <c r="AH29" i="8"/>
  <c r="AF29" i="8"/>
  <c r="AG29" i="8"/>
  <c r="AE29" i="8"/>
  <c r="AH28" i="8"/>
  <c r="AF28" i="8"/>
  <c r="AG28" i="8"/>
  <c r="AE28" i="8"/>
  <c r="AH27" i="8"/>
  <c r="AF27" i="8"/>
  <c r="AG27" i="8"/>
  <c r="AE27" i="8"/>
  <c r="AH25" i="8"/>
  <c r="AF25" i="8"/>
  <c r="AG25" i="8"/>
  <c r="AE25" i="8"/>
  <c r="AH24" i="8"/>
  <c r="AF24" i="8"/>
  <c r="AG24" i="8"/>
  <c r="AE24" i="8"/>
  <c r="AH23" i="8"/>
  <c r="AF23" i="8"/>
  <c r="AG23" i="8"/>
  <c r="AE23" i="8"/>
  <c r="AH22" i="8"/>
  <c r="AF22" i="8"/>
  <c r="AG22" i="8"/>
  <c r="AE22" i="8"/>
  <c r="AH21" i="8"/>
  <c r="AF21" i="8"/>
  <c r="AG21" i="8"/>
  <c r="AE21" i="8"/>
  <c r="AH20" i="8"/>
  <c r="AF20" i="8"/>
  <c r="AG20" i="8"/>
  <c r="AE20" i="8"/>
  <c r="AH18" i="8"/>
  <c r="AF18" i="8"/>
  <c r="AG18" i="8"/>
  <c r="AE18" i="8"/>
  <c r="AH17" i="8"/>
  <c r="AF17" i="8"/>
  <c r="AG17" i="8"/>
  <c r="AE17" i="8"/>
  <c r="AH16" i="8"/>
  <c r="AF16" i="8"/>
  <c r="AG16" i="8"/>
  <c r="AE16" i="8"/>
  <c r="AH15" i="8"/>
  <c r="AF15" i="8"/>
  <c r="AG15" i="8"/>
  <c r="AE15" i="8"/>
  <c r="AH13" i="8"/>
  <c r="AF13" i="8"/>
  <c r="AG13" i="8"/>
  <c r="AE13" i="8"/>
  <c r="AH12" i="8"/>
  <c r="AF12" i="8"/>
  <c r="AG12" i="8"/>
  <c r="AE12" i="8"/>
  <c r="AH11" i="8"/>
  <c r="AF11" i="8"/>
  <c r="AG11" i="8"/>
  <c r="AE11" i="8"/>
  <c r="AH9" i="8"/>
  <c r="AF9" i="8"/>
  <c r="AG9" i="8"/>
  <c r="AE9" i="8"/>
  <c r="AH8" i="8"/>
  <c r="AF8" i="8"/>
  <c r="AG8" i="8"/>
  <c r="AE8" i="8"/>
  <c r="AH7" i="8"/>
  <c r="AF7" i="8"/>
  <c r="AG7" i="8"/>
  <c r="AE7" i="8"/>
  <c r="AH5" i="8"/>
  <c r="AF5" i="8"/>
  <c r="AG5" i="8"/>
  <c r="AE5" i="8"/>
  <c r="AH4" i="8"/>
  <c r="AF4" i="8"/>
  <c r="AG4" i="8"/>
  <c r="AE4" i="8"/>
  <c r="AC54" i="8" s="1"/>
  <c r="H4" i="30" s="1"/>
  <c r="AH3" i="8"/>
  <c r="AF3" i="8"/>
  <c r="AG3" i="8"/>
  <c r="AE3" i="8"/>
  <c r="P61" i="8"/>
  <c r="N61" i="8"/>
  <c r="M61" i="8"/>
  <c r="N57" i="8"/>
  <c r="F3" i="30" s="1"/>
  <c r="N56" i="8"/>
  <c r="E3" i="30" s="1"/>
  <c r="N54" i="8"/>
  <c r="K3" i="30" s="1"/>
  <c r="W52" i="8"/>
  <c r="V49" i="8"/>
  <c r="T49" i="8"/>
  <c r="U49" i="8"/>
  <c r="S49" i="8"/>
  <c r="V48" i="8"/>
  <c r="T48" i="8"/>
  <c r="U48" i="8"/>
  <c r="S48" i="8"/>
  <c r="V47" i="8"/>
  <c r="T47" i="8"/>
  <c r="U47" i="8"/>
  <c r="S47" i="8"/>
  <c r="V46" i="8"/>
  <c r="T46" i="8"/>
  <c r="U46" i="8"/>
  <c r="S46" i="8"/>
  <c r="V44" i="8"/>
  <c r="T44" i="8"/>
  <c r="U44" i="8"/>
  <c r="S44" i="8"/>
  <c r="V43" i="8"/>
  <c r="T43" i="8"/>
  <c r="U43" i="8"/>
  <c r="S43" i="8"/>
  <c r="V42" i="8"/>
  <c r="T42" i="8"/>
  <c r="U42" i="8"/>
  <c r="S42" i="8"/>
  <c r="V40" i="8"/>
  <c r="T40" i="8"/>
  <c r="U40" i="8"/>
  <c r="S40" i="8"/>
  <c r="V39" i="8"/>
  <c r="T39" i="8"/>
  <c r="U39" i="8"/>
  <c r="S39" i="8"/>
  <c r="V38" i="8"/>
  <c r="T38" i="8"/>
  <c r="U38" i="8"/>
  <c r="S38" i="8"/>
  <c r="V36" i="8"/>
  <c r="T36" i="8"/>
  <c r="U36" i="8"/>
  <c r="S36" i="8"/>
  <c r="Q54" i="8" s="1"/>
  <c r="V35" i="8"/>
  <c r="T35" i="8"/>
  <c r="U35" i="8"/>
  <c r="S35" i="8"/>
  <c r="V34" i="8"/>
  <c r="T34" i="8"/>
  <c r="U34" i="8"/>
  <c r="S34" i="8"/>
  <c r="V33" i="8"/>
  <c r="T33" i="8"/>
  <c r="U33" i="8"/>
  <c r="S33" i="8"/>
  <c r="V31" i="8"/>
  <c r="T31" i="8"/>
  <c r="U31" i="8"/>
  <c r="S31" i="8"/>
  <c r="V30" i="8"/>
  <c r="T30" i="8"/>
  <c r="U30" i="8"/>
  <c r="S30" i="8"/>
  <c r="V29" i="8"/>
  <c r="T29" i="8"/>
  <c r="U29" i="8"/>
  <c r="S29" i="8"/>
  <c r="V28" i="8"/>
  <c r="T28" i="8"/>
  <c r="U28" i="8"/>
  <c r="S28" i="8"/>
  <c r="V27" i="8"/>
  <c r="T27" i="8"/>
  <c r="U27" i="8"/>
  <c r="S27" i="8"/>
  <c r="V25" i="8"/>
  <c r="T25" i="8"/>
  <c r="U25" i="8"/>
  <c r="S25" i="8"/>
  <c r="V24" i="8"/>
  <c r="T24" i="8"/>
  <c r="U24" i="8"/>
  <c r="S24" i="8"/>
  <c r="V23" i="8"/>
  <c r="T23" i="8"/>
  <c r="U23" i="8"/>
  <c r="S23" i="8"/>
  <c r="V22" i="8"/>
  <c r="T22" i="8"/>
  <c r="U22" i="8"/>
  <c r="S22" i="8"/>
  <c r="V21" i="8"/>
  <c r="T21" i="8"/>
  <c r="U21" i="8"/>
  <c r="S21" i="8"/>
  <c r="V20" i="8"/>
  <c r="T20" i="8"/>
  <c r="U20" i="8"/>
  <c r="S20" i="8"/>
  <c r="V18" i="8"/>
  <c r="T18" i="8"/>
  <c r="U18" i="8"/>
  <c r="S18" i="8"/>
  <c r="V17" i="8"/>
  <c r="T17" i="8"/>
  <c r="U17" i="8"/>
  <c r="S17" i="8"/>
  <c r="V16" i="8"/>
  <c r="T16" i="8"/>
  <c r="U16" i="8"/>
  <c r="S16" i="8"/>
  <c r="V15" i="8"/>
  <c r="T15" i="8"/>
  <c r="U15" i="8"/>
  <c r="S15" i="8"/>
  <c r="V13" i="8"/>
  <c r="T13" i="8"/>
  <c r="U13" i="8"/>
  <c r="S13" i="8"/>
  <c r="V12" i="8"/>
  <c r="T12" i="8"/>
  <c r="U12" i="8"/>
  <c r="S12" i="8"/>
  <c r="V11" i="8"/>
  <c r="T11" i="8"/>
  <c r="U11" i="8"/>
  <c r="S11" i="8"/>
  <c r="V9" i="8"/>
  <c r="T9" i="8"/>
  <c r="U9" i="8"/>
  <c r="S9" i="8"/>
  <c r="V8" i="8"/>
  <c r="T8" i="8"/>
  <c r="U8" i="8"/>
  <c r="S8" i="8"/>
  <c r="V7" i="8"/>
  <c r="T7" i="8"/>
  <c r="U7" i="8"/>
  <c r="S7" i="8"/>
  <c r="V5" i="8"/>
  <c r="T5" i="8"/>
  <c r="U5" i="8"/>
  <c r="S5" i="8"/>
  <c r="V4" i="8"/>
  <c r="T4" i="8"/>
  <c r="U4" i="8"/>
  <c r="S4" i="8"/>
  <c r="V3" i="8"/>
  <c r="T3" i="8"/>
  <c r="U3" i="8"/>
  <c r="S3" i="8"/>
  <c r="D61" i="8"/>
  <c r="B61" i="8"/>
  <c r="A61" i="8"/>
  <c r="J49" i="8"/>
  <c r="H49" i="8"/>
  <c r="I49" i="8"/>
  <c r="G49" i="8"/>
  <c r="J48" i="8"/>
  <c r="H48" i="8"/>
  <c r="I48" i="8"/>
  <c r="G48" i="8"/>
  <c r="J47" i="8"/>
  <c r="H47" i="8"/>
  <c r="I47" i="8"/>
  <c r="G47" i="8"/>
  <c r="J46" i="8"/>
  <c r="H46" i="8"/>
  <c r="I46" i="8"/>
  <c r="G46" i="8"/>
  <c r="J44" i="8"/>
  <c r="H44" i="8"/>
  <c r="I44" i="8"/>
  <c r="G44" i="8"/>
  <c r="J43" i="8"/>
  <c r="H43" i="8"/>
  <c r="I43" i="8"/>
  <c r="G43" i="8"/>
  <c r="J42" i="8"/>
  <c r="H42" i="8"/>
  <c r="I42" i="8"/>
  <c r="G42" i="8"/>
  <c r="J40" i="8"/>
  <c r="H40" i="8"/>
  <c r="I40" i="8"/>
  <c r="G40" i="8"/>
  <c r="J39" i="8"/>
  <c r="H39" i="8"/>
  <c r="I39" i="8"/>
  <c r="G39" i="8"/>
  <c r="J38" i="8"/>
  <c r="H38" i="8"/>
  <c r="I38" i="8"/>
  <c r="G38" i="8"/>
  <c r="J36" i="8"/>
  <c r="H36" i="8"/>
  <c r="I36" i="8"/>
  <c r="G36" i="8"/>
  <c r="J35" i="8"/>
  <c r="H35" i="8"/>
  <c r="I35" i="8"/>
  <c r="G35" i="8"/>
  <c r="J34" i="8"/>
  <c r="H34" i="8"/>
  <c r="I34" i="8"/>
  <c r="G34" i="8"/>
  <c r="J33" i="8"/>
  <c r="H33" i="8"/>
  <c r="I33" i="8"/>
  <c r="G33" i="8"/>
  <c r="J31" i="8"/>
  <c r="H31" i="8"/>
  <c r="I31" i="8"/>
  <c r="G31" i="8"/>
  <c r="J30" i="8"/>
  <c r="H30" i="8"/>
  <c r="I30" i="8"/>
  <c r="G30" i="8"/>
  <c r="J29" i="8"/>
  <c r="H29" i="8"/>
  <c r="I29" i="8"/>
  <c r="G29" i="8"/>
  <c r="J28" i="8"/>
  <c r="H28" i="8"/>
  <c r="I28" i="8"/>
  <c r="G28" i="8"/>
  <c r="J27" i="8"/>
  <c r="H27" i="8"/>
  <c r="I27" i="8"/>
  <c r="G27" i="8"/>
  <c r="J25" i="8"/>
  <c r="H25" i="8"/>
  <c r="I25" i="8"/>
  <c r="G25" i="8"/>
  <c r="J24" i="8"/>
  <c r="H24" i="8"/>
  <c r="I24" i="8"/>
  <c r="G24" i="8"/>
  <c r="J23" i="8"/>
  <c r="H23" i="8"/>
  <c r="I23" i="8"/>
  <c r="G23" i="8"/>
  <c r="J22" i="8"/>
  <c r="H22" i="8"/>
  <c r="I22" i="8"/>
  <c r="G22" i="8"/>
  <c r="J21" i="8"/>
  <c r="H21" i="8"/>
  <c r="I21" i="8"/>
  <c r="G21" i="8"/>
  <c r="J20" i="8"/>
  <c r="H20" i="8"/>
  <c r="I20" i="8"/>
  <c r="G20" i="8"/>
  <c r="J18" i="8"/>
  <c r="H18" i="8"/>
  <c r="I18" i="8"/>
  <c r="G18" i="8"/>
  <c r="J17" i="8"/>
  <c r="H17" i="8"/>
  <c r="I17" i="8"/>
  <c r="G17" i="8"/>
  <c r="J16" i="8"/>
  <c r="H16" i="8"/>
  <c r="I16" i="8"/>
  <c r="G16" i="8"/>
  <c r="J15" i="8"/>
  <c r="H15" i="8"/>
  <c r="I15" i="8"/>
  <c r="G15" i="8"/>
  <c r="J13" i="8"/>
  <c r="H13" i="8"/>
  <c r="I13" i="8"/>
  <c r="G13" i="8"/>
  <c r="J12" i="8"/>
  <c r="H12" i="8"/>
  <c r="I12" i="8"/>
  <c r="G12" i="8"/>
  <c r="J11" i="8"/>
  <c r="H11" i="8"/>
  <c r="I11" i="8"/>
  <c r="G11" i="8"/>
  <c r="J9" i="8"/>
  <c r="H9" i="8"/>
  <c r="I9" i="8"/>
  <c r="G9" i="8"/>
  <c r="J8" i="8"/>
  <c r="H8" i="8"/>
  <c r="I8" i="8"/>
  <c r="G8" i="8"/>
  <c r="J7" i="8"/>
  <c r="H7" i="8"/>
  <c r="I7" i="8"/>
  <c r="G7" i="8"/>
  <c r="J5" i="8"/>
  <c r="H5" i="8"/>
  <c r="I5" i="8"/>
  <c r="E55" i="8" s="1"/>
  <c r="I2" i="30" s="1"/>
  <c r="G5" i="8"/>
  <c r="E54" i="8" s="1"/>
  <c r="J4" i="8"/>
  <c r="H4" i="8"/>
  <c r="I4" i="8"/>
  <c r="G4" i="8"/>
  <c r="J3" i="8"/>
  <c r="H3" i="8"/>
  <c r="I3" i="8"/>
  <c r="G3" i="8"/>
  <c r="A506" i="12"/>
  <c r="A493" i="12"/>
  <c r="A480" i="12"/>
  <c r="A467" i="12"/>
  <c r="A454" i="12"/>
  <c r="A441" i="12"/>
  <c r="A428" i="12"/>
  <c r="A415" i="12"/>
  <c r="A402" i="12"/>
  <c r="A389" i="12"/>
  <c r="A376" i="12"/>
  <c r="A363" i="12"/>
  <c r="A350" i="12"/>
  <c r="A337" i="12"/>
  <c r="A324" i="12"/>
  <c r="A311" i="12"/>
  <c r="A298" i="12"/>
  <c r="A285" i="12"/>
  <c r="A272" i="12"/>
  <c r="A259" i="12"/>
  <c r="A246" i="12"/>
  <c r="A233" i="12"/>
  <c r="A220" i="12"/>
  <c r="A207" i="12"/>
  <c r="A194" i="12"/>
  <c r="A181" i="12"/>
  <c r="A168" i="12"/>
  <c r="A155" i="12"/>
  <c r="A142" i="12"/>
  <c r="A129" i="12"/>
  <c r="A116" i="12"/>
  <c r="A103" i="12"/>
  <c r="A90" i="12"/>
  <c r="A75" i="12"/>
  <c r="A61" i="12"/>
  <c r="A47" i="12"/>
  <c r="A32" i="12"/>
  <c r="A16" i="12"/>
  <c r="HU62" i="8"/>
  <c r="HI62" i="8"/>
  <c r="GW62" i="8"/>
  <c r="GK62" i="8"/>
  <c r="FY62" i="8"/>
  <c r="FM62" i="8"/>
  <c r="FA62" i="8"/>
  <c r="EO62" i="8"/>
  <c r="EC62" i="8"/>
  <c r="DQ62" i="8"/>
  <c r="DE62" i="8"/>
  <c r="CS62" i="8"/>
  <c r="CG62" i="8"/>
  <c r="BU62" i="8"/>
  <c r="BI62" i="8"/>
  <c r="AW62" i="8"/>
  <c r="AK62" i="8"/>
  <c r="Y62" i="8"/>
  <c r="M62" i="8"/>
  <c r="A62" i="8"/>
  <c r="A505" i="12"/>
  <c r="A504" i="12"/>
  <c r="A503" i="12"/>
  <c r="A502" i="12"/>
  <c r="A501" i="12"/>
  <c r="A500" i="12"/>
  <c r="A499" i="12"/>
  <c r="A498" i="12"/>
  <c r="A497" i="12"/>
  <c r="A496" i="12"/>
  <c r="A492" i="12"/>
  <c r="A491" i="12"/>
  <c r="A490" i="12"/>
  <c r="A489" i="12"/>
  <c r="A488" i="12"/>
  <c r="A487" i="12"/>
  <c r="A486" i="12"/>
  <c r="A485" i="12"/>
  <c r="A484" i="12"/>
  <c r="A483" i="12"/>
  <c r="A479" i="12"/>
  <c r="A478" i="12"/>
  <c r="A477" i="12"/>
  <c r="A476" i="12"/>
  <c r="A475" i="12"/>
  <c r="A474" i="12"/>
  <c r="A473" i="12"/>
  <c r="A472" i="12"/>
  <c r="A471" i="12"/>
  <c r="A470" i="12"/>
  <c r="A466" i="12"/>
  <c r="A465" i="12"/>
  <c r="A464" i="12"/>
  <c r="A463" i="12"/>
  <c r="A462" i="12"/>
  <c r="A461" i="12"/>
  <c r="A460" i="12"/>
  <c r="A459" i="12"/>
  <c r="A458" i="12"/>
  <c r="A457" i="12"/>
  <c r="A453" i="12"/>
  <c r="A452" i="12"/>
  <c r="A451" i="12"/>
  <c r="A450" i="12"/>
  <c r="A449" i="12"/>
  <c r="A448" i="12"/>
  <c r="A447" i="12"/>
  <c r="A446" i="12"/>
  <c r="A445" i="12"/>
  <c r="A444" i="12"/>
  <c r="A440" i="12"/>
  <c r="A439" i="12"/>
  <c r="A438" i="12"/>
  <c r="A437" i="12"/>
  <c r="A436" i="12"/>
  <c r="A435" i="12"/>
  <c r="A434" i="12"/>
  <c r="A433" i="12"/>
  <c r="A432" i="12"/>
  <c r="A431" i="12"/>
  <c r="A427" i="12"/>
  <c r="A426" i="12"/>
  <c r="A425" i="12"/>
  <c r="A424" i="12"/>
  <c r="A423" i="12"/>
  <c r="A422" i="12"/>
  <c r="A421" i="12"/>
  <c r="A420" i="12"/>
  <c r="A419" i="12"/>
  <c r="A418" i="12"/>
  <c r="A414" i="12"/>
  <c r="A413" i="12"/>
  <c r="A412" i="12"/>
  <c r="A411" i="12"/>
  <c r="A410" i="12"/>
  <c r="A409" i="12"/>
  <c r="A408" i="12"/>
  <c r="A407" i="12"/>
  <c r="A406" i="12"/>
  <c r="A405" i="12"/>
  <c r="A401" i="12"/>
  <c r="A400" i="12"/>
  <c r="A399" i="12"/>
  <c r="A398" i="12"/>
  <c r="A397" i="12"/>
  <c r="A396" i="12"/>
  <c r="A395" i="12"/>
  <c r="A394" i="12"/>
  <c r="A393" i="12"/>
  <c r="A392" i="12"/>
  <c r="A388" i="12"/>
  <c r="A387" i="12"/>
  <c r="A386" i="12"/>
  <c r="A385" i="12"/>
  <c r="A384" i="12"/>
  <c r="A383" i="12"/>
  <c r="A382" i="12"/>
  <c r="A381" i="12"/>
  <c r="A380" i="12"/>
  <c r="A379" i="12"/>
  <c r="A375" i="12"/>
  <c r="A374" i="12"/>
  <c r="A373" i="12"/>
  <c r="A372" i="12"/>
  <c r="A371" i="12"/>
  <c r="A370" i="12"/>
  <c r="A369" i="12"/>
  <c r="A368" i="12"/>
  <c r="A367" i="12"/>
  <c r="A366" i="12"/>
  <c r="A362" i="12"/>
  <c r="A361" i="12"/>
  <c r="A360" i="12"/>
  <c r="A359" i="12"/>
  <c r="A358" i="12"/>
  <c r="A357" i="12"/>
  <c r="A356" i="12"/>
  <c r="A355" i="12"/>
  <c r="A354" i="12"/>
  <c r="A353" i="12"/>
  <c r="A349" i="12"/>
  <c r="A348" i="12"/>
  <c r="A347" i="12"/>
  <c r="A346" i="12"/>
  <c r="A345" i="12"/>
  <c r="A344" i="12"/>
  <c r="A343" i="12"/>
  <c r="A342" i="12"/>
  <c r="A341" i="12"/>
  <c r="A340" i="12"/>
  <c r="A336" i="12"/>
  <c r="A335" i="12"/>
  <c r="A334" i="12"/>
  <c r="A333" i="12"/>
  <c r="A332" i="12"/>
  <c r="A331" i="12"/>
  <c r="A330" i="12"/>
  <c r="A329" i="12"/>
  <c r="A328" i="12"/>
  <c r="A327" i="12"/>
  <c r="A323" i="12"/>
  <c r="A322" i="12"/>
  <c r="A321" i="12"/>
  <c r="A320" i="12"/>
  <c r="A319" i="12"/>
  <c r="A318" i="12"/>
  <c r="A317" i="12"/>
  <c r="A316" i="12"/>
  <c r="A315" i="12"/>
  <c r="A314" i="12"/>
  <c r="A310" i="12"/>
  <c r="A309" i="12"/>
  <c r="A308" i="12"/>
  <c r="A307" i="12"/>
  <c r="A306" i="12"/>
  <c r="A305" i="12"/>
  <c r="A304" i="12"/>
  <c r="A303" i="12"/>
  <c r="A302" i="12"/>
  <c r="A301" i="12"/>
  <c r="A297" i="12"/>
  <c r="A296" i="12"/>
  <c r="A295" i="12"/>
  <c r="A294" i="12"/>
  <c r="A293" i="12"/>
  <c r="A292" i="12"/>
  <c r="A291" i="12"/>
  <c r="A290" i="12"/>
  <c r="A289" i="12"/>
  <c r="A288" i="12"/>
  <c r="A284" i="12"/>
  <c r="A283" i="12"/>
  <c r="A282" i="12"/>
  <c r="A281" i="12"/>
  <c r="A280" i="12"/>
  <c r="A279" i="12"/>
  <c r="A278" i="12"/>
  <c r="A277" i="12"/>
  <c r="A276" i="12"/>
  <c r="A275" i="12"/>
  <c r="A271" i="12"/>
  <c r="A270" i="12"/>
  <c r="A269" i="12"/>
  <c r="A268" i="12"/>
  <c r="A267" i="12"/>
  <c r="A266" i="12"/>
  <c r="A265" i="12"/>
  <c r="A264" i="12"/>
  <c r="A263" i="12"/>
  <c r="A262" i="12"/>
  <c r="A258" i="12"/>
  <c r="A257" i="12"/>
  <c r="A256" i="12"/>
  <c r="A255" i="12"/>
  <c r="A254" i="12"/>
  <c r="A253" i="12"/>
  <c r="A252" i="12"/>
  <c r="A251" i="12"/>
  <c r="A250" i="12"/>
  <c r="A249" i="12"/>
  <c r="A245" i="12"/>
  <c r="A244" i="12"/>
  <c r="A243" i="12"/>
  <c r="A242" i="12"/>
  <c r="A241" i="12"/>
  <c r="A240" i="12"/>
  <c r="A239" i="12"/>
  <c r="A238" i="12"/>
  <c r="A237" i="12"/>
  <c r="A236" i="12"/>
  <c r="A232" i="12"/>
  <c r="A231" i="12"/>
  <c r="A230" i="12"/>
  <c r="A229" i="12"/>
  <c r="A228" i="12"/>
  <c r="A227" i="12"/>
  <c r="A226" i="12"/>
  <c r="A225" i="12"/>
  <c r="A224" i="12"/>
  <c r="A223" i="12"/>
  <c r="A219" i="12"/>
  <c r="A218" i="12"/>
  <c r="A217" i="12"/>
  <c r="A216" i="12"/>
  <c r="A215" i="12"/>
  <c r="A214" i="12"/>
  <c r="A213" i="12"/>
  <c r="A212" i="12"/>
  <c r="A211" i="12"/>
  <c r="A210" i="12"/>
  <c r="A206" i="12"/>
  <c r="A205" i="12"/>
  <c r="A204" i="12"/>
  <c r="A203" i="12"/>
  <c r="A202" i="12"/>
  <c r="A201" i="12"/>
  <c r="A200" i="12"/>
  <c r="A199" i="12"/>
  <c r="A198" i="12"/>
  <c r="A197" i="12"/>
  <c r="A193" i="12"/>
  <c r="A192" i="12"/>
  <c r="A191" i="12"/>
  <c r="A190" i="12"/>
  <c r="A189" i="12"/>
  <c r="A188" i="12"/>
  <c r="A187" i="12"/>
  <c r="A186" i="12"/>
  <c r="A185" i="12"/>
  <c r="A184" i="12"/>
  <c r="A180" i="12"/>
  <c r="A179" i="12"/>
  <c r="A178" i="12"/>
  <c r="A177" i="12"/>
  <c r="A176" i="12"/>
  <c r="A175" i="12"/>
  <c r="A174" i="12"/>
  <c r="A173" i="12"/>
  <c r="A172" i="12"/>
  <c r="A171" i="12"/>
  <c r="A167" i="12"/>
  <c r="A166" i="12"/>
  <c r="A165" i="12"/>
  <c r="A164" i="12"/>
  <c r="A163" i="12"/>
  <c r="A162" i="12"/>
  <c r="A161" i="12"/>
  <c r="A160" i="12"/>
  <c r="A159" i="12"/>
  <c r="A158" i="12"/>
  <c r="A154" i="12"/>
  <c r="A153" i="12"/>
  <c r="A152" i="12"/>
  <c r="A151" i="12"/>
  <c r="A150" i="12"/>
  <c r="A149" i="12"/>
  <c r="A148" i="12"/>
  <c r="A147" i="12"/>
  <c r="A146" i="12"/>
  <c r="A145" i="12"/>
  <c r="A141" i="12"/>
  <c r="A140" i="12"/>
  <c r="A139" i="12"/>
  <c r="A138" i="12"/>
  <c r="A137" i="12"/>
  <c r="A136" i="12"/>
  <c r="A135" i="12"/>
  <c r="A134" i="12"/>
  <c r="A133" i="12"/>
  <c r="A132" i="12"/>
  <c r="A128" i="12"/>
  <c r="A127" i="12"/>
  <c r="A126" i="12"/>
  <c r="A125" i="12"/>
  <c r="A124" i="12"/>
  <c r="A123" i="12"/>
  <c r="A122" i="12"/>
  <c r="A121" i="12"/>
  <c r="A120" i="12"/>
  <c r="A119" i="12"/>
  <c r="A115" i="12"/>
  <c r="A114" i="12"/>
  <c r="A113" i="12"/>
  <c r="A112" i="12"/>
  <c r="A111" i="12"/>
  <c r="A110" i="12"/>
  <c r="A109" i="12"/>
  <c r="A108" i="12"/>
  <c r="A107" i="12"/>
  <c r="A106" i="12"/>
  <c r="A102" i="12"/>
  <c r="A101" i="12"/>
  <c r="A100" i="12"/>
  <c r="A99" i="12"/>
  <c r="A98" i="12"/>
  <c r="A97" i="12"/>
  <c r="A96" i="12"/>
  <c r="A95" i="12"/>
  <c r="A94" i="12"/>
  <c r="A93" i="12"/>
  <c r="A89" i="12"/>
  <c r="A87" i="12"/>
  <c r="A86" i="12"/>
  <c r="A84" i="12"/>
  <c r="A83" i="12"/>
  <c r="A82" i="12"/>
  <c r="A81" i="12"/>
  <c r="A80" i="12"/>
  <c r="A79" i="12"/>
  <c r="A78" i="12"/>
  <c r="A74" i="12"/>
  <c r="A73" i="12"/>
  <c r="A71" i="12"/>
  <c r="A70" i="12"/>
  <c r="A69" i="12"/>
  <c r="A68" i="12"/>
  <c r="A67" i="12"/>
  <c r="A66" i="12"/>
  <c r="A65" i="12"/>
  <c r="A64" i="12"/>
  <c r="A60" i="12"/>
  <c r="A59" i="12"/>
  <c r="A57" i="12"/>
  <c r="A56" i="12"/>
  <c r="A55" i="12"/>
  <c r="A54" i="12"/>
  <c r="A53" i="12"/>
  <c r="A52" i="12"/>
  <c r="A51" i="12"/>
  <c r="A50" i="12"/>
  <c r="A46" i="12"/>
  <c r="A45" i="12"/>
  <c r="A44" i="12"/>
  <c r="A42" i="12"/>
  <c r="A41" i="12"/>
  <c r="A40" i="12"/>
  <c r="A39" i="12"/>
  <c r="A38" i="12"/>
  <c r="A37" i="12"/>
  <c r="A35" i="12"/>
  <c r="A31" i="12"/>
  <c r="A29" i="12"/>
  <c r="A28" i="12"/>
  <c r="A27" i="12"/>
  <c r="A25" i="12"/>
  <c r="A24" i="12"/>
  <c r="A23" i="12"/>
  <c r="A22" i="12"/>
  <c r="A21" i="12"/>
  <c r="A19" i="12"/>
  <c r="A15" i="12"/>
  <c r="A13" i="12"/>
  <c r="A12" i="12"/>
  <c r="A11" i="12"/>
  <c r="A9" i="12"/>
  <c r="A8" i="12"/>
  <c r="A7" i="12"/>
  <c r="A6" i="12"/>
  <c r="A5" i="12"/>
  <c r="A3" i="12"/>
  <c r="HW24" i="8"/>
  <c r="HK47" i="8"/>
  <c r="HK17" i="8"/>
  <c r="GY39" i="8"/>
  <c r="GY9" i="8"/>
  <c r="GM31" i="8"/>
  <c r="GA24" i="8"/>
  <c r="FO47" i="8"/>
  <c r="FO17" i="8"/>
  <c r="FC39" i="8"/>
  <c r="FC9" i="8"/>
  <c r="EQ31" i="8"/>
  <c r="EE24" i="8"/>
  <c r="DS47" i="8"/>
  <c r="DS17" i="8"/>
  <c r="DG39" i="8"/>
  <c r="DG9" i="8"/>
  <c r="CU31" i="8"/>
  <c r="CI24" i="8"/>
  <c r="BW47" i="8"/>
  <c r="BW17" i="8"/>
  <c r="BK39" i="8"/>
  <c r="BK9" i="8"/>
  <c r="AY31" i="8"/>
  <c r="AM24" i="8"/>
  <c r="AA47" i="8"/>
  <c r="AA17" i="8"/>
  <c r="O39" i="8"/>
  <c r="O9" i="8"/>
  <c r="C31" i="8"/>
  <c r="O3" i="8"/>
  <c r="C25" i="8"/>
  <c r="HK34" i="8"/>
  <c r="GY27" i="8"/>
  <c r="GM20" i="8"/>
  <c r="GA42" i="8"/>
  <c r="GA12" i="8"/>
  <c r="FO4" i="8"/>
  <c r="FC27" i="8"/>
  <c r="EQ49" i="8"/>
  <c r="EE42" i="8"/>
  <c r="DS34" i="8"/>
  <c r="DG27" i="8"/>
  <c r="CU20" i="8"/>
  <c r="CI42" i="8"/>
  <c r="CI12" i="8"/>
  <c r="BW34" i="8"/>
  <c r="BK27" i="8"/>
  <c r="HW48" i="8"/>
  <c r="HW18" i="8"/>
  <c r="HK40" i="8"/>
  <c r="HK11" i="8"/>
  <c r="GY33" i="8"/>
  <c r="GY3" i="8"/>
  <c r="GM25" i="8"/>
  <c r="GA48" i="8"/>
  <c r="GA18" i="8"/>
  <c r="FO40" i="8"/>
  <c r="FO11" i="8"/>
  <c r="FC33" i="8"/>
  <c r="FC3" i="8"/>
  <c r="EQ25" i="8"/>
  <c r="EE48" i="8"/>
  <c r="EE18" i="8"/>
  <c r="DS40" i="8"/>
  <c r="DS11" i="8"/>
  <c r="DG33" i="8"/>
  <c r="DG3" i="8"/>
  <c r="CU25" i="8"/>
  <c r="CI48" i="8"/>
  <c r="CI18" i="8"/>
  <c r="BW40" i="8"/>
  <c r="BW11" i="8"/>
  <c r="BK33" i="8"/>
  <c r="BK3" i="8"/>
  <c r="AY25" i="8"/>
  <c r="AM48" i="8"/>
  <c r="AM18" i="8"/>
  <c r="AA40" i="8"/>
  <c r="AA11" i="8"/>
  <c r="O33" i="8"/>
  <c r="HW42" i="8"/>
  <c r="HW12" i="8"/>
  <c r="HK4" i="8"/>
  <c r="GM49" i="8"/>
  <c r="FO34" i="8"/>
  <c r="EQ20" i="8"/>
  <c r="EE12" i="8"/>
  <c r="DS4" i="8"/>
  <c r="CU49" i="8"/>
  <c r="BW4" i="8"/>
  <c r="AY49" i="8"/>
  <c r="HW40" i="8"/>
  <c r="HW11" i="8"/>
  <c r="HK33" i="8"/>
  <c r="HK3" i="8"/>
  <c r="GY25" i="8"/>
  <c r="GM48" i="8"/>
  <c r="GM18" i="8"/>
  <c r="GA40" i="8"/>
  <c r="GA11" i="8"/>
  <c r="FO33" i="8"/>
  <c r="FO3" i="8"/>
  <c r="FC25" i="8"/>
  <c r="EQ48" i="8"/>
  <c r="EQ18" i="8"/>
  <c r="EE40" i="8"/>
  <c r="EE11" i="8"/>
  <c r="DS33" i="8"/>
  <c r="DS3" i="8"/>
  <c r="DG25" i="8"/>
  <c r="CU48" i="8"/>
  <c r="CU18" i="8"/>
  <c r="CI40" i="8"/>
  <c r="CI11" i="8"/>
  <c r="BW33" i="8"/>
  <c r="BW3" i="8"/>
  <c r="BK25" i="8"/>
  <c r="AY48" i="8"/>
  <c r="AY18" i="8"/>
  <c r="AM40" i="8"/>
  <c r="AM11" i="8"/>
  <c r="AA33" i="8"/>
  <c r="AA3" i="8"/>
  <c r="O25" i="8"/>
  <c r="C48" i="8"/>
  <c r="C18" i="8"/>
  <c r="HW34" i="8"/>
  <c r="HW4" i="8"/>
  <c r="HK27" i="8"/>
  <c r="GY49" i="8"/>
  <c r="GY20" i="8"/>
  <c r="GM42" i="8"/>
  <c r="GM12" i="8"/>
  <c r="GA34" i="8"/>
  <c r="GA4" i="8"/>
  <c r="FO27" i="8"/>
  <c r="FC49" i="8"/>
  <c r="FC20" i="8"/>
  <c r="EQ42" i="8"/>
  <c r="EQ12" i="8"/>
  <c r="EE34" i="8"/>
  <c r="EE4" i="8"/>
  <c r="DS27" i="8"/>
  <c r="GY40" i="8"/>
  <c r="GY34" i="8"/>
  <c r="GY28" i="8"/>
  <c r="GM34" i="8"/>
  <c r="GM28" i="8"/>
  <c r="GM22" i="8"/>
  <c r="GM3" i="8"/>
  <c r="FO48" i="8"/>
  <c r="FO42" i="8"/>
  <c r="FO35" i="8"/>
  <c r="FC42" i="8"/>
  <c r="FC35" i="8"/>
  <c r="FC29" i="8"/>
  <c r="FC11" i="8"/>
  <c r="FC4" i="8"/>
  <c r="EQ35" i="8"/>
  <c r="EQ29" i="8"/>
  <c r="EQ23" i="8"/>
  <c r="EQ4" i="8"/>
  <c r="DS49" i="8"/>
  <c r="DS43" i="8"/>
  <c r="DS36" i="8"/>
  <c r="DS18" i="8"/>
  <c r="DS12" i="8"/>
  <c r="DS5" i="8"/>
  <c r="CU44" i="8"/>
  <c r="CI39" i="8"/>
  <c r="BK48" i="8"/>
  <c r="BK23" i="8"/>
  <c r="AY36" i="8"/>
  <c r="AY30" i="8"/>
  <c r="AY24" i="8"/>
  <c r="AM27" i="8"/>
  <c r="AM21" i="8"/>
  <c r="AM15" i="8"/>
  <c r="AM8" i="8"/>
  <c r="AA4" i="8"/>
  <c r="O43" i="8"/>
  <c r="O36" i="8"/>
  <c r="O30" i="8"/>
  <c r="O24" i="8"/>
  <c r="O18" i="8"/>
  <c r="HW27" i="8"/>
  <c r="HW15" i="8"/>
  <c r="EE35" i="8"/>
  <c r="EE23" i="8"/>
  <c r="DG36" i="8"/>
  <c r="CU7" i="8"/>
  <c r="CI27" i="8"/>
  <c r="CI15" i="8"/>
  <c r="BK4" i="8"/>
  <c r="C38" i="8"/>
  <c r="DG5" i="8"/>
  <c r="BW22" i="8"/>
  <c r="BW16" i="8"/>
  <c r="BW9" i="8"/>
  <c r="HW39" i="8"/>
  <c r="HW33" i="8"/>
  <c r="HW8" i="8"/>
  <c r="GA9" i="8"/>
  <c r="GA3" i="8"/>
  <c r="DG49" i="8"/>
  <c r="DG24" i="8"/>
  <c r="CU38" i="8"/>
  <c r="CU13" i="8"/>
  <c r="CI46" i="8"/>
  <c r="CI33" i="8"/>
  <c r="CI8" i="8"/>
  <c r="BK42" i="8"/>
  <c r="BK35" i="8"/>
  <c r="BK29" i="8"/>
  <c r="BK17" i="8"/>
  <c r="AY12" i="8"/>
  <c r="C44" i="8"/>
  <c r="HW46" i="8"/>
  <c r="HW21" i="8"/>
  <c r="GA47" i="8"/>
  <c r="GA28" i="8"/>
  <c r="GA22" i="8"/>
  <c r="GA16" i="8"/>
  <c r="EE29" i="8"/>
  <c r="EE17" i="8"/>
  <c r="DG43" i="8"/>
  <c r="DG30" i="8"/>
  <c r="DG18" i="8"/>
  <c r="CI21" i="8"/>
  <c r="BW28" i="8"/>
  <c r="BK11" i="8"/>
  <c r="AY5" i="8"/>
  <c r="O12" i="8"/>
  <c r="O5" i="8"/>
  <c r="DG12" i="8"/>
  <c r="HW44" i="8"/>
  <c r="HW25" i="8"/>
  <c r="HW20" i="8"/>
  <c r="HW13" i="8"/>
  <c r="GA46" i="8"/>
  <c r="GA27" i="8"/>
  <c r="GA21" i="8"/>
  <c r="GA15" i="8"/>
  <c r="EE47" i="8"/>
  <c r="EE28" i="8"/>
  <c r="EE22" i="8"/>
  <c r="EE16" i="8"/>
  <c r="DG42" i="8"/>
  <c r="DG35" i="8"/>
  <c r="DG29" i="8"/>
  <c r="DG17" i="8"/>
  <c r="CU5" i="8"/>
  <c r="CI25" i="8"/>
  <c r="CI20" i="8"/>
  <c r="CI13" i="8"/>
  <c r="BW46" i="8"/>
  <c r="BW39" i="8"/>
  <c r="BW27" i="8"/>
  <c r="AY4" i="8"/>
  <c r="AA46" i="8"/>
  <c r="AA39" i="8"/>
  <c r="O11" i="8"/>
  <c r="O4" i="8"/>
  <c r="C36" i="8"/>
  <c r="C30" i="8"/>
  <c r="C24" i="8"/>
  <c r="HK31" i="8"/>
  <c r="HK25" i="8"/>
  <c r="DG11" i="8"/>
  <c r="DG4" i="8"/>
  <c r="BW21" i="8"/>
  <c r="BW15" i="8"/>
  <c r="BW8" i="8"/>
  <c r="AY47" i="8"/>
  <c r="AM49" i="8"/>
  <c r="AM43" i="8"/>
  <c r="AM36" i="8"/>
  <c r="AA27" i="8"/>
  <c r="C12" i="8"/>
  <c r="HK20" i="8"/>
  <c r="HK13" i="8"/>
  <c r="HK7" i="8"/>
  <c r="GY48" i="8"/>
  <c r="GY35" i="8"/>
  <c r="GM46" i="8"/>
  <c r="GM39" i="8"/>
  <c r="GM33" i="8"/>
  <c r="GA43" i="8"/>
  <c r="GA17" i="8"/>
  <c r="FO39" i="8"/>
  <c r="FC30" i="8"/>
  <c r="EQ28" i="8"/>
  <c r="DS35" i="8"/>
  <c r="DG46" i="8"/>
  <c r="CI36" i="8"/>
  <c r="CI30" i="8"/>
  <c r="AM44" i="8"/>
  <c r="O35" i="8"/>
  <c r="C46" i="8"/>
  <c r="C39" i="8"/>
  <c r="GY16" i="8"/>
  <c r="GM7" i="8"/>
  <c r="FC43" i="8"/>
  <c r="EE31" i="8"/>
  <c r="DS48" i="8"/>
  <c r="CI43" i="8"/>
  <c r="AY46" i="8"/>
  <c r="AM12" i="8"/>
  <c r="AA35" i="8"/>
  <c r="AA23" i="8"/>
  <c r="C13" i="8"/>
  <c r="FO31" i="8"/>
  <c r="FO25" i="8"/>
  <c r="FC23" i="8"/>
  <c r="FC17" i="8"/>
  <c r="EQ8" i="8"/>
  <c r="AA42" i="8"/>
  <c r="O16" i="8"/>
  <c r="HW49" i="8"/>
  <c r="HW29" i="8"/>
  <c r="GY42" i="8"/>
  <c r="FO46" i="8"/>
  <c r="FC36" i="8"/>
  <c r="EQ47" i="8"/>
  <c r="EQ40" i="8"/>
  <c r="EQ34" i="8"/>
  <c r="EE25" i="8"/>
  <c r="EE5" i="8"/>
  <c r="DS42" i="8"/>
  <c r="DG31" i="8"/>
  <c r="CI17" i="8"/>
  <c r="BW13" i="8"/>
  <c r="AY21" i="8"/>
  <c r="AY15" i="8"/>
  <c r="AY8" i="8"/>
  <c r="AM5" i="8"/>
  <c r="O48" i="8"/>
  <c r="O42" i="8"/>
  <c r="HW35" i="8"/>
  <c r="HW16" i="8"/>
  <c r="HK44" i="8"/>
  <c r="HK38" i="8"/>
  <c r="GY22" i="8"/>
  <c r="GM13" i="8"/>
  <c r="GA49" i="8"/>
  <c r="GA23" i="8"/>
  <c r="DS9" i="8"/>
  <c r="AY27" i="8"/>
  <c r="AA29" i="8"/>
  <c r="C20" i="8"/>
  <c r="C7" i="8"/>
  <c r="EQ15" i="8"/>
  <c r="EE38" i="8"/>
  <c r="DS16" i="8"/>
  <c r="DG38" i="8"/>
  <c r="CU15" i="8"/>
  <c r="CU8" i="8"/>
  <c r="CI49" i="8"/>
  <c r="CI23" i="8"/>
  <c r="CI9" i="8"/>
  <c r="CI3" i="8"/>
  <c r="BW20" i="8"/>
  <c r="BK22" i="8"/>
  <c r="BK16" i="8"/>
  <c r="AY39" i="8"/>
  <c r="AY33" i="8"/>
  <c r="O22" i="8"/>
  <c r="HW22" i="8"/>
  <c r="HK49" i="8"/>
  <c r="HK43" i="8"/>
  <c r="HK36" i="8"/>
  <c r="GY21" i="8"/>
  <c r="GY15" i="8"/>
  <c r="GY8" i="8"/>
  <c r="GM5" i="8"/>
  <c r="EE30" i="8"/>
  <c r="DS8" i="8"/>
  <c r="DG23" i="8"/>
  <c r="BW44" i="8"/>
  <c r="BK47" i="8"/>
  <c r="BK40" i="8"/>
  <c r="BK8" i="8"/>
  <c r="AY44" i="8"/>
  <c r="AM17" i="8"/>
  <c r="AA34" i="8"/>
  <c r="AA28" i="8"/>
  <c r="AA22" i="8"/>
  <c r="AA16" i="8"/>
  <c r="AA9" i="8"/>
  <c r="C5" i="8"/>
  <c r="HW7" i="8"/>
  <c r="GM24" i="8"/>
  <c r="FO30" i="8"/>
  <c r="FO24" i="8"/>
  <c r="FC22" i="8"/>
  <c r="FC16" i="8"/>
  <c r="EQ13" i="8"/>
  <c r="EQ7" i="8"/>
  <c r="EE36" i="8"/>
  <c r="DS15" i="8"/>
  <c r="CI22" i="8"/>
  <c r="BW18" i="8"/>
  <c r="BK21" i="8"/>
  <c r="BK15" i="8"/>
  <c r="AY38" i="8"/>
  <c r="AM35" i="8"/>
  <c r="AM23" i="8"/>
  <c r="O21" i="8"/>
  <c r="O15" i="8"/>
  <c r="HK23" i="8"/>
  <c r="GM30" i="8"/>
  <c r="FO18" i="8"/>
  <c r="FO12" i="8"/>
  <c r="FO5" i="8"/>
  <c r="FC28" i="8"/>
  <c r="EE43" i="8"/>
  <c r="DS21" i="8"/>
  <c r="HW47" i="8"/>
  <c r="HK30" i="8"/>
  <c r="GY17" i="8"/>
  <c r="FO16" i="8"/>
  <c r="FC15" i="8"/>
  <c r="EQ22" i="8"/>
  <c r="EE7" i="8"/>
  <c r="DS7" i="8"/>
  <c r="DG47" i="8"/>
  <c r="BW12" i="8"/>
  <c r="BK12" i="8"/>
  <c r="AA7" i="8"/>
  <c r="O8" i="8"/>
  <c r="C35" i="8"/>
  <c r="C3" i="8"/>
  <c r="GM43" i="8"/>
  <c r="GA35" i="8"/>
  <c r="GA8" i="8"/>
  <c r="FC21" i="8"/>
  <c r="CI4" i="8"/>
  <c r="BW31" i="8"/>
  <c r="BK38" i="8"/>
  <c r="AM38" i="8"/>
  <c r="O28" i="8"/>
  <c r="GY43" i="8"/>
  <c r="FO28" i="8"/>
  <c r="FC34" i="8"/>
  <c r="DS13" i="8"/>
  <c r="BW38" i="8"/>
  <c r="AA25" i="8"/>
  <c r="O34" i="8"/>
  <c r="GY29" i="8"/>
  <c r="FO8" i="8"/>
  <c r="EE33" i="8"/>
  <c r="DS39" i="8"/>
  <c r="CI31" i="8"/>
  <c r="BK44" i="8"/>
  <c r="BK24" i="8"/>
  <c r="HK29" i="8"/>
  <c r="FC40" i="8"/>
  <c r="FC13" i="8"/>
  <c r="EQ21" i="8"/>
  <c r="CI38" i="8"/>
  <c r="AA31" i="8"/>
  <c r="DS46" i="8"/>
  <c r="DS25" i="8"/>
  <c r="BK30" i="8"/>
  <c r="AA12" i="8"/>
  <c r="AY9" i="8"/>
  <c r="HK15" i="8"/>
  <c r="GY7" i="8"/>
  <c r="AY16" i="8"/>
  <c r="HK21" i="8"/>
  <c r="GY13" i="8"/>
  <c r="EE3" i="8"/>
  <c r="DG22" i="8"/>
  <c r="FC38" i="8"/>
  <c r="CU17" i="8"/>
  <c r="CI35" i="8"/>
  <c r="BW42" i="8"/>
  <c r="AY42" i="8"/>
  <c r="AM22" i="8"/>
  <c r="AA43" i="8"/>
  <c r="GY36" i="8"/>
  <c r="GM36" i="8"/>
  <c r="GM23" i="8"/>
  <c r="FO49" i="8"/>
  <c r="FO22" i="8"/>
  <c r="FC48" i="8"/>
  <c r="EE27" i="8"/>
  <c r="EE13" i="8"/>
  <c r="CU46" i="8"/>
  <c r="CU39" i="8"/>
  <c r="CU33" i="8"/>
  <c r="CU27" i="8"/>
  <c r="CU21" i="8"/>
  <c r="BW25" i="8"/>
  <c r="BK31" i="8"/>
  <c r="AM31" i="8"/>
  <c r="AM25" i="8"/>
  <c r="AA13" i="8"/>
  <c r="C9" i="8"/>
  <c r="GY23" i="8"/>
  <c r="GA29" i="8"/>
  <c r="BK18" i="8"/>
  <c r="AA20" i="8"/>
  <c r="C42" i="8"/>
  <c r="C16" i="8"/>
  <c r="GM29" i="8"/>
  <c r="GM9" i="8"/>
  <c r="EE20" i="8"/>
  <c r="C22" i="8"/>
  <c r="HW31" i="8"/>
  <c r="GM16" i="8"/>
  <c r="FC7" i="8"/>
  <c r="AM4" i="8"/>
  <c r="C28" i="8"/>
  <c r="FO15" i="8"/>
  <c r="AA5" i="8"/>
  <c r="O40" i="8"/>
  <c r="O7" i="8"/>
  <c r="C34" i="8"/>
  <c r="HW38" i="8"/>
  <c r="HK9" i="8"/>
  <c r="GM35" i="8"/>
  <c r="FO21" i="8"/>
  <c r="FC47" i="8"/>
  <c r="EQ27" i="8"/>
  <c r="DS31" i="8"/>
  <c r="DS20" i="8"/>
  <c r="BW24" i="8"/>
  <c r="AY11" i="8"/>
  <c r="AM30" i="8"/>
  <c r="O47" i="8"/>
  <c r="C8" i="8"/>
  <c r="CU4" i="8"/>
  <c r="AM29" i="8"/>
  <c r="GY47" i="8"/>
  <c r="GM47" i="8"/>
  <c r="GA20" i="8"/>
  <c r="FC31" i="8"/>
  <c r="DG16" i="8"/>
  <c r="BW29" i="8"/>
  <c r="AY35" i="8"/>
  <c r="AM42" i="8"/>
  <c r="AM16" i="8"/>
  <c r="AA36" i="8"/>
  <c r="O31" i="8"/>
  <c r="HW43" i="8"/>
  <c r="FC24" i="8"/>
  <c r="CU11" i="8"/>
  <c r="CI29" i="8"/>
  <c r="BW35" i="8"/>
  <c r="AY22" i="8"/>
  <c r="EQ38" i="8"/>
  <c r="EE44" i="8"/>
  <c r="EE9" i="8"/>
  <c r="HW3" i="8"/>
  <c r="HK35" i="8"/>
  <c r="HK16" i="8"/>
  <c r="GA7" i="8"/>
  <c r="EE39" i="8"/>
  <c r="BW30" i="8"/>
  <c r="BK36" i="8"/>
  <c r="AY17" i="8"/>
  <c r="AA38" i="8"/>
  <c r="AA18" i="8"/>
  <c r="O27" i="8"/>
  <c r="O13" i="8"/>
  <c r="C40" i="8"/>
  <c r="C15" i="8"/>
  <c r="HW17" i="8"/>
  <c r="HK22" i="8"/>
  <c r="GM8" i="8"/>
  <c r="EQ33" i="8"/>
  <c r="CU12" i="8"/>
  <c r="CI44" i="8"/>
  <c r="BW36" i="8"/>
  <c r="AY23" i="8"/>
  <c r="AA24" i="8"/>
  <c r="C47" i="8"/>
  <c r="C21" i="8"/>
  <c r="HW30" i="8"/>
  <c r="HW9" i="8"/>
  <c r="HK42" i="8"/>
  <c r="GM15" i="8"/>
  <c r="GA13" i="8"/>
  <c r="FO7" i="8"/>
  <c r="FC5" i="8"/>
  <c r="EQ39" i="8"/>
  <c r="EE46" i="8"/>
  <c r="DS38" i="8"/>
  <c r="DG44" i="8"/>
  <c r="BW43" i="8"/>
  <c r="BK43" i="8"/>
  <c r="AY43" i="8"/>
  <c r="AY3" i="8"/>
  <c r="AM3" i="8"/>
  <c r="AA44" i="8"/>
  <c r="O20" i="8"/>
  <c r="C27" i="8"/>
  <c r="HK28" i="8"/>
  <c r="GM21" i="8"/>
  <c r="FO13" i="8"/>
  <c r="FC12" i="8"/>
  <c r="EQ46" i="8"/>
  <c r="EQ5" i="8"/>
  <c r="CU43" i="8"/>
  <c r="CU36" i="8"/>
  <c r="CU30" i="8"/>
  <c r="CU24" i="8"/>
  <c r="BK49" i="8"/>
  <c r="AY29" i="8"/>
  <c r="AM9" i="8"/>
  <c r="AA30" i="8"/>
  <c r="C33" i="8"/>
  <c r="HW36" i="8"/>
  <c r="HW23" i="8"/>
  <c r="HK48" i="8"/>
  <c r="HK8" i="8"/>
  <c r="GM40" i="8"/>
  <c r="GA39" i="8"/>
  <c r="GA33" i="8"/>
  <c r="FO20" i="8"/>
  <c r="FC46" i="8"/>
  <c r="FC18" i="8"/>
  <c r="DS44" i="8"/>
  <c r="DS30" i="8"/>
  <c r="DS24" i="8"/>
  <c r="CI16" i="8"/>
  <c r="BW49" i="8"/>
  <c r="BW23" i="8"/>
  <c r="O46" i="8"/>
  <c r="GM27" i="8"/>
  <c r="GA5" i="8"/>
  <c r="O38" i="8"/>
  <c r="HW28" i="8"/>
  <c r="DG13" i="8"/>
  <c r="CU29" i="8"/>
  <c r="CU16" i="8"/>
  <c r="CI7" i="8"/>
  <c r="C4" i="8"/>
  <c r="HK5" i="8"/>
  <c r="CU35" i="8"/>
  <c r="BK7" i="8"/>
  <c r="CU42" i="8"/>
  <c r="BW5" i="8"/>
  <c r="CI5" i="8"/>
  <c r="BK13" i="8"/>
  <c r="AY7" i="8"/>
  <c r="BK34" i="8"/>
  <c r="AY28" i="8"/>
  <c r="C17" i="8"/>
  <c r="AY20" i="8"/>
  <c r="GA31" i="8"/>
  <c r="AM34" i="8"/>
  <c r="GY38" i="8"/>
  <c r="EE8" i="8"/>
  <c r="FO38" i="8"/>
  <c r="FO9" i="8"/>
  <c r="AA49" i="8"/>
  <c r="EQ36" i="8"/>
  <c r="AM20" i="8"/>
  <c r="GY44" i="8"/>
  <c r="FO44" i="8"/>
  <c r="EE15" i="8"/>
  <c r="DG8" i="8"/>
  <c r="BK46" i="8"/>
  <c r="GA36" i="8"/>
  <c r="DG28" i="8"/>
  <c r="CU9" i="8"/>
  <c r="CU23" i="8"/>
  <c r="EE49" i="8"/>
  <c r="BW7" i="8"/>
  <c r="AM46" i="8"/>
  <c r="HW5" i="8"/>
  <c r="DG48" i="8"/>
  <c r="DG40" i="8"/>
  <c r="DG20" i="8"/>
  <c r="CU22" i="8"/>
  <c r="CI28" i="8"/>
  <c r="BK28" i="8"/>
  <c r="C11" i="8"/>
  <c r="HK12" i="8"/>
  <c r="GY5" i="8"/>
  <c r="CU28" i="8"/>
  <c r="CI34" i="8"/>
  <c r="AM28" i="8"/>
  <c r="GY46" i="8"/>
  <c r="GY11" i="8"/>
  <c r="AY40" i="8"/>
  <c r="O44" i="8"/>
  <c r="HK46" i="8"/>
  <c r="FC8" i="8"/>
  <c r="EQ30" i="8"/>
  <c r="DS23" i="8"/>
  <c r="CI47" i="8"/>
  <c r="AA21" i="8"/>
  <c r="EQ9" i="8"/>
  <c r="C43" i="8"/>
  <c r="GY30" i="8"/>
  <c r="FC44" i="8"/>
  <c r="EQ16" i="8"/>
  <c r="GM38" i="8"/>
  <c r="FO23" i="8"/>
  <c r="AM47" i="8"/>
  <c r="AM33" i="8"/>
  <c r="C49" i="8"/>
  <c r="EQ43" i="8"/>
  <c r="DG15" i="8"/>
  <c r="GM44" i="8"/>
  <c r="FO36" i="8"/>
  <c r="EE21" i="8"/>
  <c r="DS28" i="8"/>
  <c r="AM39" i="8"/>
  <c r="FO29" i="8"/>
  <c r="DG21" i="8"/>
  <c r="DG7" i="8"/>
  <c r="DG34" i="8"/>
  <c r="GY12" i="8"/>
  <c r="CU34" i="8"/>
  <c r="BK5" i="8"/>
  <c r="AA8" i="8"/>
  <c r="O17" i="8"/>
  <c r="HK18" i="8"/>
  <c r="GM4" i="8"/>
  <c r="BK20" i="8"/>
  <c r="AY13" i="8"/>
  <c r="EQ11" i="8"/>
  <c r="CU40" i="8"/>
  <c r="AY34" i="8"/>
  <c r="C23" i="8"/>
  <c r="HK39" i="8"/>
  <c r="GY18" i="8"/>
  <c r="GY4" i="8"/>
  <c r="EQ24" i="8"/>
  <c r="BW48" i="8"/>
  <c r="AM7" i="8"/>
  <c r="AA15" i="8"/>
  <c r="O23" i="8"/>
  <c r="HK24" i="8"/>
  <c r="GY31" i="8"/>
  <c r="GM11" i="8"/>
  <c r="GA25" i="8"/>
  <c r="EQ17" i="8"/>
  <c r="EQ3" i="8"/>
  <c r="CU47" i="8"/>
  <c r="C29" i="8"/>
  <c r="GY24" i="8"/>
  <c r="AM13" i="8"/>
  <c r="O29" i="8"/>
  <c r="GM17" i="8"/>
  <c r="EQ44" i="8"/>
  <c r="GA38" i="8"/>
  <c r="DS29" i="8"/>
  <c r="GA44" i="8"/>
  <c r="GA30" i="8"/>
  <c r="DS22" i="8"/>
  <c r="CU3" i="8"/>
  <c r="O49" i="8"/>
  <c r="AA48" i="8"/>
  <c r="FO43" i="8"/>
  <c r="E14" i="30" l="1"/>
  <c r="H2" i="30"/>
  <c r="E56" i="8"/>
  <c r="J2" i="30" s="1"/>
  <c r="ES56" i="8"/>
  <c r="J14" i="30" s="1"/>
  <c r="H14" i="30"/>
  <c r="H3" i="30"/>
  <c r="F13" i="30"/>
  <c r="ED55" i="8"/>
  <c r="D13" i="30" s="1"/>
  <c r="HA56" i="8"/>
  <c r="J19" i="30" s="1"/>
  <c r="H19" i="30"/>
  <c r="ED54" i="8"/>
  <c r="E13" i="30"/>
  <c r="ID54" i="8"/>
  <c r="CT56" i="8"/>
  <c r="CT58" i="8"/>
  <c r="G10" i="30" s="1"/>
  <c r="CT57" i="8"/>
  <c r="F10" i="30" s="1"/>
  <c r="EP58" i="8"/>
  <c r="G14" i="30" s="1"/>
  <c r="Z57" i="8"/>
  <c r="F4" i="30" s="1"/>
  <c r="BF54" i="8"/>
  <c r="GX56" i="8"/>
  <c r="DU54" i="8"/>
  <c r="EG54" i="8"/>
  <c r="EG55" i="8"/>
  <c r="I13" i="30" s="1"/>
  <c r="GL57" i="8"/>
  <c r="F18" i="30" s="1"/>
  <c r="GL56" i="8"/>
  <c r="GL58" i="8"/>
  <c r="G18" i="30" s="1"/>
  <c r="BJ56" i="8"/>
  <c r="BR54" i="8"/>
  <c r="AC56" i="8"/>
  <c r="J4" i="30" s="1"/>
  <c r="DI55" i="8"/>
  <c r="I11" i="30" s="1"/>
  <c r="EP57" i="8"/>
  <c r="F14" i="30" s="1"/>
  <c r="BY54" i="8"/>
  <c r="DR56" i="8"/>
  <c r="FN58" i="8"/>
  <c r="G16" i="30" s="1"/>
  <c r="BM55" i="8"/>
  <c r="I7" i="30" s="1"/>
  <c r="FE53" i="8"/>
  <c r="S15" i="30" s="1"/>
  <c r="CP54" i="8"/>
  <c r="HV58" i="8"/>
  <c r="G21" i="30" s="1"/>
  <c r="HV57" i="8"/>
  <c r="F21" i="30" s="1"/>
  <c r="DB54" i="8"/>
  <c r="DN54" i="8"/>
  <c r="FZ56" i="8"/>
  <c r="E15" i="30"/>
  <c r="FB54" i="8"/>
  <c r="FQ56" i="8"/>
  <c r="J16" i="30" s="1"/>
  <c r="H16" i="30"/>
  <c r="DI54" i="8"/>
  <c r="FE56" i="8"/>
  <c r="J15" i="30" s="1"/>
  <c r="AH54" i="8"/>
  <c r="CW54" i="8"/>
  <c r="CW55" i="8"/>
  <c r="I10" i="30" s="1"/>
  <c r="AT54" i="8"/>
  <c r="GO53" i="8"/>
  <c r="S18" i="30" s="1"/>
  <c r="CH58" i="8"/>
  <c r="G9" i="30" s="1"/>
  <c r="CH57" i="8"/>
  <c r="F9" i="30" s="1"/>
  <c r="Q53" i="8"/>
  <c r="S3" i="30" s="1"/>
  <c r="HR54" i="8"/>
  <c r="Q55" i="8"/>
  <c r="I3" i="30" s="1"/>
  <c r="AO53" i="8"/>
  <c r="S5" i="30" s="1"/>
  <c r="BA54" i="8"/>
  <c r="ES55" i="8"/>
  <c r="I14" i="30" s="1"/>
  <c r="DI53" i="8"/>
  <c r="S11" i="30" s="1"/>
  <c r="GH54" i="8"/>
  <c r="J54" i="8"/>
  <c r="Z56" i="8"/>
  <c r="AL58" i="8"/>
  <c r="G5" i="30" s="1"/>
  <c r="AL57" i="8"/>
  <c r="F5" i="30" s="1"/>
  <c r="AL56" i="8"/>
  <c r="AX56" i="8"/>
  <c r="BM53" i="8"/>
  <c r="S7" i="30" s="1"/>
  <c r="HM53" i="8"/>
  <c r="S20" i="30" s="1"/>
  <c r="AX57" i="8"/>
  <c r="F6" i="30" s="1"/>
  <c r="BY55" i="8"/>
  <c r="I8" i="30" s="1"/>
  <c r="V54" i="8"/>
  <c r="AO54" i="8"/>
  <c r="BA53" i="8"/>
  <c r="S6" i="30" s="1"/>
  <c r="HM54" i="8"/>
  <c r="HV56" i="8"/>
  <c r="CH56" i="8"/>
  <c r="EX54" i="8"/>
  <c r="FN56" i="8"/>
  <c r="AC55" i="8"/>
  <c r="I4" i="30" s="1"/>
  <c r="EG53" i="8"/>
  <c r="S13" i="30" s="1"/>
  <c r="HY54" i="8"/>
  <c r="BM54" i="8"/>
  <c r="DF56" i="8"/>
  <c r="FJ54" i="8"/>
  <c r="GO54" i="8"/>
  <c r="HJ58" i="8"/>
  <c r="G20" i="30" s="1"/>
  <c r="E53" i="8"/>
  <c r="S2" i="30" s="1"/>
  <c r="HM55" i="8"/>
  <c r="I20" i="30" s="1"/>
  <c r="EL54" i="8"/>
  <c r="ED58" i="8"/>
  <c r="G13" i="30" s="1"/>
  <c r="HJ56" i="8"/>
  <c r="CD54" i="8"/>
  <c r="AO55" i="8"/>
  <c r="I5" i="30" s="1"/>
  <c r="GO55" i="8"/>
  <c r="I18" i="30" s="1"/>
  <c r="BV57" i="8"/>
  <c r="F8" i="30" s="1"/>
  <c r="BV56" i="8"/>
  <c r="DZ54" i="8"/>
  <c r="B58" i="8"/>
  <c r="G2" i="30" s="1"/>
  <c r="B57" i="8"/>
  <c r="F2" i="30" s="1"/>
  <c r="B56" i="8"/>
  <c r="GC54" i="8"/>
  <c r="DF57" i="8"/>
  <c r="F11" i="30" s="1"/>
  <c r="HF54" i="8"/>
  <c r="Z58" i="8"/>
  <c r="G4" i="30" s="1"/>
  <c r="FB58" i="8"/>
  <c r="G15" i="30" s="1"/>
  <c r="CK54" i="8"/>
  <c r="HA53" i="8"/>
  <c r="S19" i="30" s="1"/>
  <c r="CK55" i="8"/>
  <c r="I9" i="30" s="1"/>
  <c r="CW53" i="8"/>
  <c r="S10" i="30" s="1"/>
  <c r="DR58" i="8"/>
  <c r="G12" i="30" s="1"/>
  <c r="DR57" i="8"/>
  <c r="F12" i="30" s="1"/>
  <c r="HA55" i="8"/>
  <c r="I19" i="30" s="1"/>
  <c r="HY55" i="8"/>
  <c r="I21" i="30" s="1"/>
  <c r="GC55" i="8"/>
  <c r="I17" i="30" s="1"/>
  <c r="N58" i="8"/>
  <c r="GT54" i="8"/>
  <c r="BJ57" i="8"/>
  <c r="F7" i="30" s="1"/>
  <c r="BV58" i="8"/>
  <c r="G8" i="30" s="1"/>
  <c r="GX58" i="8"/>
  <c r="G19" i="30" s="1"/>
  <c r="FN57" i="8"/>
  <c r="F16" i="30" s="1"/>
  <c r="HJ57" i="8"/>
  <c r="F20" i="30" s="1"/>
  <c r="FB57" i="8"/>
  <c r="GX57" i="8"/>
  <c r="F19" i="30" s="1"/>
  <c r="BJ58" i="8"/>
  <c r="G7" i="30" s="1"/>
  <c r="DF58" i="8"/>
  <c r="G11" i="30" s="1"/>
  <c r="EX59" i="8"/>
  <c r="BR59" i="8"/>
  <c r="AE54" i="8"/>
  <c r="CM54" i="8"/>
  <c r="DB59" i="8"/>
  <c r="HF59" i="8"/>
  <c r="J59" i="8"/>
  <c r="HF55" i="8"/>
  <c r="AH55" i="8"/>
  <c r="AQ54" i="8"/>
  <c r="CP59" i="8"/>
  <c r="FV55" i="8"/>
  <c r="FV59" i="8"/>
  <c r="FS54" i="8"/>
  <c r="BR55" i="8"/>
  <c r="AH59" i="8"/>
  <c r="DN59" i="8"/>
  <c r="AT59" i="8"/>
  <c r="HC54" i="8"/>
  <c r="BC54" i="8"/>
  <c r="S54" i="8"/>
  <c r="FG54" i="8"/>
  <c r="GT59" i="8"/>
  <c r="P15" i="30" l="1"/>
  <c r="P3" i="30"/>
  <c r="P6" i="30"/>
  <c r="P19" i="30"/>
  <c r="P16" i="30"/>
  <c r="P5" i="30"/>
  <c r="P9" i="30"/>
  <c r="P4" i="30"/>
  <c r="H5" i="30"/>
  <c r="AO56" i="8"/>
  <c r="J5" i="30" s="1"/>
  <c r="H17" i="30"/>
  <c r="GC56" i="8"/>
  <c r="J17" i="30" s="1"/>
  <c r="G3" i="30"/>
  <c r="N55" i="8"/>
  <c r="D3" i="30" s="1"/>
  <c r="HY56" i="8"/>
  <c r="J21" i="30" s="1"/>
  <c r="H21" i="30"/>
  <c r="AL55" i="8"/>
  <c r="D5" i="30" s="1"/>
  <c r="E5" i="30"/>
  <c r="AL54" i="8"/>
  <c r="BV55" i="8"/>
  <c r="D8" i="30" s="1"/>
  <c r="BV54" i="8"/>
  <c r="E8" i="30"/>
  <c r="E20" i="30"/>
  <c r="HJ55" i="8"/>
  <c r="D20" i="30" s="1"/>
  <c r="HJ54" i="8"/>
  <c r="Z54" i="8"/>
  <c r="Z55" i="8"/>
  <c r="D4" i="30" s="1"/>
  <c r="E4" i="30"/>
  <c r="H11" i="30"/>
  <c r="DI56" i="8"/>
  <c r="J11" i="30" s="1"/>
  <c r="E7" i="30"/>
  <c r="BJ55" i="8"/>
  <c r="D7" i="30" s="1"/>
  <c r="BJ54" i="8"/>
  <c r="E12" i="30"/>
  <c r="DR55" i="8"/>
  <c r="D12" i="30" s="1"/>
  <c r="DR54" i="8"/>
  <c r="GO56" i="8"/>
  <c r="J18" i="30" s="1"/>
  <c r="H18" i="30"/>
  <c r="CK56" i="8"/>
  <c r="J9" i="30" s="1"/>
  <c r="H9" i="30"/>
  <c r="E11" i="30"/>
  <c r="DF55" i="8"/>
  <c r="D11" i="30" s="1"/>
  <c r="DF54" i="8"/>
  <c r="E6" i="30"/>
  <c r="AX55" i="8"/>
  <c r="D6" i="30" s="1"/>
  <c r="AX54" i="8"/>
  <c r="H10" i="30"/>
  <c r="CW56" i="8"/>
  <c r="J10" i="30" s="1"/>
  <c r="Q56" i="8"/>
  <c r="J3" i="30" s="1"/>
  <c r="E16" i="30"/>
  <c r="FN55" i="8"/>
  <c r="D16" i="30" s="1"/>
  <c r="FN54" i="8"/>
  <c r="F15" i="30"/>
  <c r="FB55" i="8"/>
  <c r="D15" i="30" s="1"/>
  <c r="FZ55" i="8"/>
  <c r="D17" i="30" s="1"/>
  <c r="FZ54" i="8"/>
  <c r="E17" i="30"/>
  <c r="CH55" i="8"/>
  <c r="D9" i="30" s="1"/>
  <c r="E9" i="30"/>
  <c r="CH54" i="8"/>
  <c r="HV55" i="8"/>
  <c r="D21" i="30" s="1"/>
  <c r="E21" i="30"/>
  <c r="HV54" i="8"/>
  <c r="H12" i="30"/>
  <c r="DU56" i="8"/>
  <c r="J12" i="30" s="1"/>
  <c r="EP55" i="8"/>
  <c r="D14" i="30" s="1"/>
  <c r="BA56" i="8"/>
  <c r="J6" i="30" s="1"/>
  <c r="H6" i="30"/>
  <c r="B55" i="8"/>
  <c r="D2" i="30" s="1"/>
  <c r="E2" i="30"/>
  <c r="B54" i="8"/>
  <c r="BY56" i="8"/>
  <c r="J8" i="30" s="1"/>
  <c r="H8" i="30"/>
  <c r="H7" i="30"/>
  <c r="BM56" i="8"/>
  <c r="J7" i="30" s="1"/>
  <c r="GL55" i="8"/>
  <c r="D18" i="30" s="1"/>
  <c r="GL54" i="8"/>
  <c r="E18" i="30"/>
  <c r="FK52" i="8"/>
  <c r="K15" i="30"/>
  <c r="CT55" i="8"/>
  <c r="D10" i="30" s="1"/>
  <c r="CT54" i="8"/>
  <c r="E10" i="30"/>
  <c r="H13" i="30"/>
  <c r="EG56" i="8"/>
  <c r="J13" i="30" s="1"/>
  <c r="EP54" i="8"/>
  <c r="HM56" i="8"/>
  <c r="J20" i="30" s="1"/>
  <c r="H20" i="30"/>
  <c r="E19" i="30"/>
  <c r="GX55" i="8"/>
  <c r="D19" i="30" s="1"/>
  <c r="GX54" i="8"/>
  <c r="K13" i="30"/>
  <c r="EM52" i="8"/>
  <c r="GO58" i="8"/>
  <c r="CK58" i="8"/>
  <c r="DZ55" i="8"/>
  <c r="GE54" i="8"/>
  <c r="GH59" i="8"/>
  <c r="DB55" i="8"/>
  <c r="AH56" i="8"/>
  <c r="EX55" i="8"/>
  <c r="AE55" i="8"/>
  <c r="FJ55" i="8"/>
  <c r="EU54" i="8"/>
  <c r="HR55" i="8"/>
  <c r="ID55" i="8"/>
  <c r="AO59" i="8"/>
  <c r="HR59" i="8"/>
  <c r="CW58" i="8"/>
  <c r="DN55" i="8"/>
  <c r="DI58" i="8"/>
  <c r="CP55" i="8"/>
  <c r="BR56" i="8"/>
  <c r="CD59" i="8"/>
  <c r="V59" i="8"/>
  <c r="FQ59" i="8"/>
  <c r="FQ58" i="8"/>
  <c r="EL55" i="8"/>
  <c r="FS55" i="8"/>
  <c r="DZ59" i="8"/>
  <c r="GH55" i="8"/>
  <c r="GO59" i="8"/>
  <c r="CK59" i="8"/>
  <c r="DW54" i="8"/>
  <c r="CY54" i="8"/>
  <c r="HF56" i="8"/>
  <c r="HA59" i="8"/>
  <c r="IA54" i="8"/>
  <c r="GQ54" i="8"/>
  <c r="CW59" i="8"/>
  <c r="DK54" i="8"/>
  <c r="AC58" i="8"/>
  <c r="AC59" i="8"/>
  <c r="CD55" i="8"/>
  <c r="BM58" i="8"/>
  <c r="ES59" i="8"/>
  <c r="BO54" i="8"/>
  <c r="FJ59" i="8"/>
  <c r="EI54" i="8"/>
  <c r="FV56" i="8"/>
  <c r="HC55" i="8"/>
  <c r="E58" i="8"/>
  <c r="BF59" i="8"/>
  <c r="J55" i="8"/>
  <c r="E59" i="8"/>
  <c r="HO54" i="8"/>
  <c r="G54" i="8"/>
  <c r="ID59" i="8"/>
  <c r="AO58" i="8"/>
  <c r="HA58" i="8"/>
  <c r="DI59" i="8"/>
  <c r="BO55" i="8"/>
  <c r="CA54" i="8"/>
  <c r="V55" i="8"/>
  <c r="BM59" i="8"/>
  <c r="AT55" i="8"/>
  <c r="GT55" i="8"/>
  <c r="EL59" i="8"/>
  <c r="ES58" i="8"/>
  <c r="BF55" i="8"/>
  <c r="Q14" i="30" l="1"/>
  <c r="R7" i="30"/>
  <c r="P8" i="30"/>
  <c r="O7" i="30"/>
  <c r="R11" i="30"/>
  <c r="Q19" i="30"/>
  <c r="Q5" i="30"/>
  <c r="P2" i="30"/>
  <c r="P20" i="30"/>
  <c r="R2" i="30"/>
  <c r="Q2" i="30"/>
  <c r="O19" i="30"/>
  <c r="P13" i="30"/>
  <c r="P7" i="30"/>
  <c r="R14" i="30"/>
  <c r="Q7" i="30"/>
  <c r="R4" i="30"/>
  <c r="Q4" i="30"/>
  <c r="P11" i="30"/>
  <c r="R10" i="30"/>
  <c r="P18" i="30"/>
  <c r="P21" i="30"/>
  <c r="R19" i="30"/>
  <c r="P10" i="30"/>
  <c r="P12" i="30"/>
  <c r="R9" i="30"/>
  <c r="R18" i="30"/>
  <c r="O16" i="30"/>
  <c r="Q16" i="30"/>
  <c r="R16" i="30"/>
  <c r="Q11" i="30"/>
  <c r="Q10" i="30"/>
  <c r="R5" i="30"/>
  <c r="P14" i="30"/>
  <c r="O4" i="30"/>
  <c r="P17" i="30"/>
  <c r="Q9" i="30"/>
  <c r="Q18" i="30"/>
  <c r="K9" i="30"/>
  <c r="CQ52" i="8"/>
  <c r="GU52" i="8"/>
  <c r="K18" i="30"/>
  <c r="K17" i="30"/>
  <c r="GI52" i="8"/>
  <c r="EY52" i="8"/>
  <c r="K14" i="30"/>
  <c r="K8" i="30"/>
  <c r="CE52" i="8"/>
  <c r="K52" i="8"/>
  <c r="K2" i="30"/>
  <c r="AU52" i="8"/>
  <c r="K5" i="30"/>
  <c r="BS52" i="8"/>
  <c r="K7" i="30"/>
  <c r="DC52" i="8"/>
  <c r="K10" i="30"/>
  <c r="DO52" i="8"/>
  <c r="K11" i="30"/>
  <c r="BG52" i="8"/>
  <c r="K6" i="30"/>
  <c r="K21" i="30"/>
  <c r="IE52" i="8"/>
  <c r="K4" i="30"/>
  <c r="AI52" i="8"/>
  <c r="HG52" i="8"/>
  <c r="K19" i="30"/>
  <c r="K12" i="30"/>
  <c r="EA52" i="8"/>
  <c r="K16" i="30"/>
  <c r="FW52" i="8"/>
  <c r="K20" i="30"/>
  <c r="HS52" i="8"/>
  <c r="K1" i="22"/>
  <c r="J1" i="22"/>
  <c r="BF56" i="8"/>
  <c r="Q58" i="8"/>
  <c r="BY58" i="8"/>
  <c r="EX56" i="8"/>
  <c r="EG59" i="8"/>
  <c r="BY59" i="8"/>
  <c r="AH57" i="8"/>
  <c r="EG58" i="8"/>
  <c r="AE56" i="8"/>
  <c r="GT56" i="8"/>
  <c r="BO56" i="8"/>
  <c r="GQ55" i="8"/>
  <c r="HC56" i="8"/>
  <c r="CM55" i="8"/>
  <c r="S55" i="8"/>
  <c r="FE58" i="8"/>
  <c r="GE55" i="8"/>
  <c r="DU59" i="8"/>
  <c r="EL56" i="8"/>
  <c r="FJ56" i="8"/>
  <c r="BC55" i="8"/>
  <c r="G55" i="8"/>
  <c r="Q59" i="8"/>
  <c r="EU55" i="8"/>
  <c r="J56" i="8"/>
  <c r="BA58" i="8"/>
  <c r="BA59" i="8"/>
  <c r="BR57" i="8"/>
  <c r="CY55" i="8"/>
  <c r="DB56" i="8"/>
  <c r="DK55" i="8"/>
  <c r="DW55" i="8"/>
  <c r="ID56" i="8"/>
  <c r="DU58" i="8"/>
  <c r="HR56" i="8"/>
  <c r="HY58" i="8"/>
  <c r="HO55" i="8"/>
  <c r="HY59" i="8"/>
  <c r="EI55" i="8"/>
  <c r="AT56" i="8"/>
  <c r="HF57" i="8"/>
  <c r="CP56" i="8"/>
  <c r="GC58" i="8"/>
  <c r="AQ55" i="8"/>
  <c r="FV57" i="8"/>
  <c r="GC59" i="8"/>
  <c r="FS56" i="8"/>
  <c r="DN56" i="8"/>
  <c r="V56" i="8"/>
  <c r="DZ56" i="8"/>
  <c r="FE59" i="8"/>
  <c r="HM59" i="8"/>
  <c r="HM58" i="8"/>
  <c r="GH56" i="8"/>
  <c r="IA55" i="8"/>
  <c r="CA55" i="8"/>
  <c r="CD56" i="8"/>
  <c r="FG55" i="8"/>
  <c r="O15" i="30" l="1"/>
  <c r="O8" i="30"/>
  <c r="O21" i="30"/>
  <c r="Q20" i="30"/>
  <c r="R20" i="30"/>
  <c r="R15" i="30"/>
  <c r="N16" i="30"/>
  <c r="R17" i="30"/>
  <c r="O5" i="30"/>
  <c r="Q17" i="30"/>
  <c r="O13" i="30"/>
  <c r="R21" i="30"/>
  <c r="O20" i="30"/>
  <c r="Q21" i="30"/>
  <c r="Q12" i="30"/>
  <c r="O12" i="30"/>
  <c r="O11" i="30"/>
  <c r="O10" i="30"/>
  <c r="R6" i="30"/>
  <c r="Q6" i="30"/>
  <c r="O14" i="30"/>
  <c r="R3" i="30"/>
  <c r="O2" i="30"/>
  <c r="O6" i="30"/>
  <c r="R12" i="30"/>
  <c r="O17" i="30"/>
  <c r="Q15" i="30"/>
  <c r="O3" i="30"/>
  <c r="O9" i="30"/>
  <c r="N19" i="30"/>
  <c r="O18" i="30"/>
  <c r="N7" i="30"/>
  <c r="N4" i="30"/>
  <c r="Q13" i="30"/>
  <c r="R8" i="30"/>
  <c r="R13" i="30"/>
  <c r="Q8" i="30"/>
  <c r="Q3" i="30"/>
  <c r="T21" i="30"/>
  <c r="T4" i="30"/>
  <c r="T17" i="30"/>
  <c r="T7" i="30"/>
  <c r="T9" i="30"/>
  <c r="T2" i="30"/>
  <c r="T5" i="30"/>
  <c r="T11" i="30"/>
  <c r="T10" i="30"/>
  <c r="T19" i="30"/>
  <c r="T8" i="30"/>
  <c r="T6" i="30"/>
  <c r="T12" i="30"/>
  <c r="T13" i="30"/>
  <c r="T14" i="30"/>
  <c r="T15" i="30"/>
  <c r="T3" i="30"/>
  <c r="T20" i="30"/>
  <c r="T18" i="30"/>
  <c r="T16" i="30"/>
  <c r="CY56" i="8"/>
  <c r="BC56" i="8"/>
  <c r="BF57" i="8"/>
  <c r="CA56" i="8"/>
  <c r="CM56" i="8"/>
  <c r="BO57" i="8"/>
  <c r="HC57" i="8"/>
  <c r="HF58" i="8"/>
  <c r="AQ56" i="8"/>
  <c r="J57" i="8"/>
  <c r="GT57" i="8"/>
  <c r="HO56" i="8"/>
  <c r="HR57" i="8"/>
  <c r="FJ57" i="8"/>
  <c r="ID57" i="8"/>
  <c r="EX57" i="8"/>
  <c r="DB57" i="8"/>
  <c r="CD57" i="8"/>
  <c r="CP57" i="8"/>
  <c r="BR58" i="8"/>
  <c r="GH57" i="8"/>
  <c r="G56" i="8"/>
  <c r="DW56" i="8"/>
  <c r="S56" i="8"/>
  <c r="FG56" i="8"/>
  <c r="IA56" i="8"/>
  <c r="EI56" i="8"/>
  <c r="EU56" i="8"/>
  <c r="FV58" i="8"/>
  <c r="AT57" i="8"/>
  <c r="GE56" i="8"/>
  <c r="GQ56" i="8"/>
  <c r="DZ57" i="8"/>
  <c r="V57" i="8"/>
  <c r="AH58" i="8"/>
  <c r="DK56" i="8"/>
  <c r="AE57" i="8"/>
  <c r="DN57" i="8"/>
  <c r="EL57" i="8"/>
  <c r="FS57" i="8"/>
  <c r="M16" i="30" l="1"/>
  <c r="M4" i="30"/>
  <c r="N11" i="30"/>
  <c r="N18" i="30"/>
  <c r="N17" i="30"/>
  <c r="N14" i="30"/>
  <c r="N13" i="30"/>
  <c r="N21" i="30"/>
  <c r="N15" i="30"/>
  <c r="N3" i="30"/>
  <c r="N12" i="30"/>
  <c r="N2" i="30"/>
  <c r="N20" i="30"/>
  <c r="N5" i="30"/>
  <c r="M19" i="30"/>
  <c r="M7" i="30"/>
  <c r="N9" i="30"/>
  <c r="N8" i="30"/>
  <c r="N6" i="30"/>
  <c r="N10" i="30"/>
  <c r="U17" i="30"/>
  <c r="U2" i="30"/>
  <c r="U4" i="30"/>
  <c r="U21" i="30"/>
  <c r="U7" i="30"/>
  <c r="U8" i="30"/>
  <c r="U16" i="30"/>
  <c r="U10" i="30"/>
  <c r="U3" i="30"/>
  <c r="U18" i="30"/>
  <c r="U14" i="30"/>
  <c r="U20" i="30"/>
  <c r="U12" i="30"/>
  <c r="U19" i="30"/>
  <c r="U15" i="30"/>
  <c r="U13" i="30"/>
  <c r="U5" i="30"/>
  <c r="U11" i="30"/>
  <c r="U9" i="30"/>
  <c r="U6" i="30"/>
  <c r="HX799" i="8"/>
  <c r="HV799" i="8"/>
  <c r="HU799" i="8"/>
  <c r="HL799" i="8"/>
  <c r="HJ799" i="8"/>
  <c r="HI799" i="8"/>
  <c r="GZ799" i="8"/>
  <c r="GX799" i="8"/>
  <c r="GW799" i="8"/>
  <c r="GN799" i="8"/>
  <c r="GL799" i="8"/>
  <c r="GK799" i="8"/>
  <c r="GB799" i="8"/>
  <c r="FZ799" i="8"/>
  <c r="FY799" i="8"/>
  <c r="FP799" i="8"/>
  <c r="FN799" i="8"/>
  <c r="FM799" i="8"/>
  <c r="FD799" i="8"/>
  <c r="FB799" i="8"/>
  <c r="FA799" i="8"/>
  <c r="ER799" i="8"/>
  <c r="EP799" i="8"/>
  <c r="EO799" i="8"/>
  <c r="EF799" i="8"/>
  <c r="ED799" i="8"/>
  <c r="EC799" i="8"/>
  <c r="DT799" i="8"/>
  <c r="DR799" i="8"/>
  <c r="DQ799" i="8"/>
  <c r="DH799" i="8"/>
  <c r="DF799" i="8"/>
  <c r="DE799" i="8"/>
  <c r="CV799" i="8"/>
  <c r="CT799" i="8"/>
  <c r="CS799" i="8"/>
  <c r="CJ799" i="8"/>
  <c r="CH799" i="8"/>
  <c r="CG799" i="8"/>
  <c r="BX799" i="8"/>
  <c r="BV799" i="8"/>
  <c r="BU799" i="8"/>
  <c r="BL799" i="8"/>
  <c r="BJ799" i="8"/>
  <c r="BI799" i="8"/>
  <c r="AZ799" i="8"/>
  <c r="AX799" i="8"/>
  <c r="AW799" i="8"/>
  <c r="AN799" i="8"/>
  <c r="AL799" i="8"/>
  <c r="AK799" i="8"/>
  <c r="AB799" i="8"/>
  <c r="Z799" i="8"/>
  <c r="Y799" i="8"/>
  <c r="P799" i="8"/>
  <c r="N799" i="8"/>
  <c r="M799" i="8"/>
  <c r="D799" i="8"/>
  <c r="B799" i="8"/>
  <c r="A799" i="8"/>
  <c r="X381" i="3"/>
  <c r="W381" i="3"/>
  <c r="V381" i="3"/>
  <c r="X380" i="3"/>
  <c r="W380" i="3"/>
  <c r="V380" i="3"/>
  <c r="X379" i="3"/>
  <c r="W379" i="3"/>
  <c r="V379" i="3"/>
  <c r="X378" i="3"/>
  <c r="W378" i="3"/>
  <c r="V378" i="3"/>
  <c r="X377" i="3"/>
  <c r="W377" i="3"/>
  <c r="V377" i="3"/>
  <c r="X376" i="3"/>
  <c r="W376" i="3"/>
  <c r="V376" i="3"/>
  <c r="X375" i="3"/>
  <c r="W375" i="3"/>
  <c r="V375" i="3"/>
  <c r="X374" i="3"/>
  <c r="W374" i="3"/>
  <c r="V374" i="3"/>
  <c r="X373" i="3"/>
  <c r="W373" i="3"/>
  <c r="V373" i="3"/>
  <c r="X372" i="3"/>
  <c r="W372" i="3"/>
  <c r="V372" i="3"/>
  <c r="X371" i="3"/>
  <c r="W371" i="3"/>
  <c r="V371" i="3"/>
  <c r="X370" i="3"/>
  <c r="W370" i="3"/>
  <c r="V370" i="3"/>
  <c r="X369" i="3"/>
  <c r="W369" i="3"/>
  <c r="V369" i="3"/>
  <c r="X368" i="3"/>
  <c r="W368" i="3"/>
  <c r="V368" i="3"/>
  <c r="X367" i="3"/>
  <c r="W367" i="3"/>
  <c r="V367" i="3"/>
  <c r="X366" i="3"/>
  <c r="W366" i="3"/>
  <c r="V366" i="3"/>
  <c r="X365" i="3"/>
  <c r="W365" i="3"/>
  <c r="V365" i="3"/>
  <c r="X364" i="3"/>
  <c r="W364" i="3"/>
  <c r="V364" i="3"/>
  <c r="X363" i="3"/>
  <c r="W363" i="3"/>
  <c r="V363" i="3"/>
  <c r="X362" i="3"/>
  <c r="W362" i="3"/>
  <c r="V362" i="3"/>
  <c r="X361" i="3"/>
  <c r="W361" i="3"/>
  <c r="V361" i="3"/>
  <c r="X360" i="3"/>
  <c r="W360" i="3"/>
  <c r="V360" i="3"/>
  <c r="X359" i="3"/>
  <c r="W359" i="3"/>
  <c r="V359" i="3"/>
  <c r="X358" i="3"/>
  <c r="W358" i="3"/>
  <c r="V358" i="3"/>
  <c r="X357" i="3"/>
  <c r="W357" i="3"/>
  <c r="V357" i="3"/>
  <c r="X356" i="3"/>
  <c r="W356" i="3"/>
  <c r="V356" i="3"/>
  <c r="X355" i="3"/>
  <c r="W355" i="3"/>
  <c r="V355" i="3"/>
  <c r="X354" i="3"/>
  <c r="W354" i="3"/>
  <c r="V354" i="3"/>
  <c r="X353" i="3"/>
  <c r="W353" i="3"/>
  <c r="V353" i="3"/>
  <c r="X352" i="3"/>
  <c r="W352" i="3"/>
  <c r="V352" i="3"/>
  <c r="X351" i="3"/>
  <c r="W351" i="3"/>
  <c r="V351" i="3"/>
  <c r="X350" i="3"/>
  <c r="W350" i="3"/>
  <c r="V350" i="3"/>
  <c r="X349" i="3"/>
  <c r="W349" i="3"/>
  <c r="V349" i="3"/>
  <c r="X348" i="3"/>
  <c r="W348" i="3"/>
  <c r="V348" i="3"/>
  <c r="X347" i="3"/>
  <c r="W347" i="3"/>
  <c r="V347" i="3"/>
  <c r="X346" i="3"/>
  <c r="W346" i="3"/>
  <c r="V346" i="3"/>
  <c r="X345" i="3"/>
  <c r="W345" i="3"/>
  <c r="V345" i="3"/>
  <c r="X344" i="3"/>
  <c r="W344" i="3"/>
  <c r="V344" i="3"/>
  <c r="X343" i="3"/>
  <c r="W343" i="3"/>
  <c r="V343" i="3"/>
  <c r="X342" i="3"/>
  <c r="W342" i="3"/>
  <c r="V342" i="3"/>
  <c r="X341" i="3"/>
  <c r="W341" i="3"/>
  <c r="V341" i="3"/>
  <c r="X340" i="3"/>
  <c r="W340" i="3"/>
  <c r="V340" i="3"/>
  <c r="X339" i="3"/>
  <c r="W339" i="3"/>
  <c r="V339" i="3"/>
  <c r="X338" i="3"/>
  <c r="W338" i="3"/>
  <c r="V338" i="3"/>
  <c r="X337" i="3"/>
  <c r="W337" i="3"/>
  <c r="V337" i="3"/>
  <c r="X336" i="3"/>
  <c r="W336" i="3"/>
  <c r="V336" i="3"/>
  <c r="X335" i="3"/>
  <c r="W335" i="3"/>
  <c r="V335" i="3"/>
  <c r="X334" i="3"/>
  <c r="W334" i="3"/>
  <c r="V334" i="3"/>
  <c r="X333" i="3"/>
  <c r="W333" i="3"/>
  <c r="V333" i="3"/>
  <c r="X332" i="3"/>
  <c r="W332" i="3"/>
  <c r="V332" i="3"/>
  <c r="X331" i="3"/>
  <c r="W331" i="3"/>
  <c r="V331" i="3"/>
  <c r="X330" i="3"/>
  <c r="W330" i="3"/>
  <c r="V330" i="3"/>
  <c r="X329" i="3"/>
  <c r="W329" i="3"/>
  <c r="V329" i="3"/>
  <c r="X328" i="3"/>
  <c r="W328" i="3"/>
  <c r="V328" i="3"/>
  <c r="X327" i="3"/>
  <c r="W327" i="3"/>
  <c r="V327" i="3"/>
  <c r="X326" i="3"/>
  <c r="W326" i="3"/>
  <c r="V326" i="3"/>
  <c r="X325" i="3"/>
  <c r="W325" i="3"/>
  <c r="V325" i="3"/>
  <c r="X324" i="3"/>
  <c r="W324" i="3"/>
  <c r="V324" i="3"/>
  <c r="X323" i="3"/>
  <c r="W323" i="3"/>
  <c r="V323" i="3"/>
  <c r="X322" i="3"/>
  <c r="W322" i="3"/>
  <c r="V322" i="3"/>
  <c r="X321" i="3"/>
  <c r="W321" i="3"/>
  <c r="V321" i="3"/>
  <c r="X320" i="3"/>
  <c r="W320" i="3"/>
  <c r="V320" i="3"/>
  <c r="X319" i="3"/>
  <c r="W319" i="3"/>
  <c r="V319" i="3"/>
  <c r="X318" i="3"/>
  <c r="W318" i="3"/>
  <c r="V318" i="3"/>
  <c r="X317" i="3"/>
  <c r="W317" i="3"/>
  <c r="V317" i="3"/>
  <c r="X316" i="3"/>
  <c r="W316" i="3"/>
  <c r="V316" i="3"/>
  <c r="X315" i="3"/>
  <c r="W315" i="3"/>
  <c r="V315" i="3"/>
  <c r="X314" i="3"/>
  <c r="W314" i="3"/>
  <c r="V314" i="3"/>
  <c r="X313" i="3"/>
  <c r="W313" i="3"/>
  <c r="V313" i="3"/>
  <c r="X312" i="3"/>
  <c r="W312" i="3"/>
  <c r="V312" i="3"/>
  <c r="X311" i="3"/>
  <c r="W311" i="3"/>
  <c r="V311" i="3"/>
  <c r="X310" i="3"/>
  <c r="W310" i="3"/>
  <c r="V310" i="3"/>
  <c r="X309" i="3"/>
  <c r="W309" i="3"/>
  <c r="V309" i="3"/>
  <c r="X308" i="3"/>
  <c r="W308" i="3"/>
  <c r="V308" i="3"/>
  <c r="X307" i="3"/>
  <c r="W307" i="3"/>
  <c r="V307" i="3"/>
  <c r="X306" i="3"/>
  <c r="W306" i="3"/>
  <c r="V306" i="3"/>
  <c r="X305" i="3"/>
  <c r="W305" i="3"/>
  <c r="V305" i="3"/>
  <c r="X304" i="3"/>
  <c r="W304" i="3"/>
  <c r="V304" i="3"/>
  <c r="X303" i="3"/>
  <c r="W303" i="3"/>
  <c r="V303" i="3"/>
  <c r="X302" i="3"/>
  <c r="W302" i="3"/>
  <c r="V302" i="3"/>
  <c r="X301" i="3"/>
  <c r="W301" i="3"/>
  <c r="V301" i="3"/>
  <c r="X300" i="3"/>
  <c r="W300" i="3"/>
  <c r="V300" i="3"/>
  <c r="X299" i="3"/>
  <c r="W299" i="3"/>
  <c r="V299" i="3"/>
  <c r="X298" i="3"/>
  <c r="W298" i="3"/>
  <c r="V298" i="3"/>
  <c r="X297" i="3"/>
  <c r="W297" i="3"/>
  <c r="V297" i="3"/>
  <c r="X296" i="3"/>
  <c r="W296" i="3"/>
  <c r="V296" i="3"/>
  <c r="X295" i="3"/>
  <c r="W295" i="3"/>
  <c r="V295" i="3"/>
  <c r="X294" i="3"/>
  <c r="W294" i="3"/>
  <c r="V294" i="3"/>
  <c r="X293" i="3"/>
  <c r="W293" i="3"/>
  <c r="V293" i="3"/>
  <c r="X292" i="3"/>
  <c r="W292" i="3"/>
  <c r="V292" i="3"/>
  <c r="X291" i="3"/>
  <c r="W291" i="3"/>
  <c r="V291" i="3"/>
  <c r="X290" i="3"/>
  <c r="W290" i="3"/>
  <c r="V290" i="3"/>
  <c r="X289" i="3"/>
  <c r="W289" i="3"/>
  <c r="V289" i="3"/>
  <c r="X288" i="3"/>
  <c r="W288" i="3"/>
  <c r="V288" i="3"/>
  <c r="X287" i="3"/>
  <c r="W287" i="3"/>
  <c r="V287" i="3"/>
  <c r="X286" i="3"/>
  <c r="W286" i="3"/>
  <c r="V286" i="3"/>
  <c r="X285" i="3"/>
  <c r="W285" i="3"/>
  <c r="V285" i="3"/>
  <c r="X284" i="3"/>
  <c r="W284" i="3"/>
  <c r="V284" i="3"/>
  <c r="X283" i="3"/>
  <c r="W283" i="3"/>
  <c r="V283" i="3"/>
  <c r="X282" i="3"/>
  <c r="W282" i="3"/>
  <c r="V282" i="3"/>
  <c r="X281" i="3"/>
  <c r="W281" i="3"/>
  <c r="V281" i="3"/>
  <c r="X280" i="3"/>
  <c r="W280" i="3"/>
  <c r="V280" i="3"/>
  <c r="X279" i="3"/>
  <c r="W279" i="3"/>
  <c r="V279" i="3"/>
  <c r="X278" i="3"/>
  <c r="W278" i="3"/>
  <c r="V278" i="3"/>
  <c r="X277" i="3"/>
  <c r="W277" i="3"/>
  <c r="V277" i="3"/>
  <c r="X276" i="3"/>
  <c r="W276" i="3"/>
  <c r="V276" i="3"/>
  <c r="X275" i="3"/>
  <c r="W275" i="3"/>
  <c r="V275" i="3"/>
  <c r="X274" i="3"/>
  <c r="W274" i="3"/>
  <c r="V274" i="3"/>
  <c r="X273" i="3"/>
  <c r="W273" i="3"/>
  <c r="V273" i="3"/>
  <c r="X272" i="3"/>
  <c r="W272" i="3"/>
  <c r="V272" i="3"/>
  <c r="X271" i="3"/>
  <c r="W271" i="3"/>
  <c r="V271" i="3"/>
  <c r="X270" i="3"/>
  <c r="W270" i="3"/>
  <c r="V270" i="3"/>
  <c r="X269" i="3"/>
  <c r="W269" i="3"/>
  <c r="V269" i="3"/>
  <c r="X268" i="3"/>
  <c r="W268" i="3"/>
  <c r="V268" i="3"/>
  <c r="X267" i="3"/>
  <c r="W267" i="3"/>
  <c r="V267" i="3"/>
  <c r="X266" i="3"/>
  <c r="W266" i="3"/>
  <c r="V266" i="3"/>
  <c r="X265" i="3"/>
  <c r="W265" i="3"/>
  <c r="V265" i="3"/>
  <c r="X264" i="3"/>
  <c r="W264" i="3"/>
  <c r="V264" i="3"/>
  <c r="X263" i="3"/>
  <c r="W263" i="3"/>
  <c r="V263" i="3"/>
  <c r="X262" i="3"/>
  <c r="W262" i="3"/>
  <c r="V262" i="3"/>
  <c r="X261" i="3"/>
  <c r="W261" i="3"/>
  <c r="V261" i="3"/>
  <c r="X260" i="3"/>
  <c r="W260" i="3"/>
  <c r="V260" i="3"/>
  <c r="X259" i="3"/>
  <c r="W259" i="3"/>
  <c r="V259" i="3"/>
  <c r="X258" i="3"/>
  <c r="W258" i="3"/>
  <c r="V258" i="3"/>
  <c r="X257" i="3"/>
  <c r="W257" i="3"/>
  <c r="V257" i="3"/>
  <c r="X256" i="3"/>
  <c r="W256" i="3"/>
  <c r="V256" i="3"/>
  <c r="X255" i="3"/>
  <c r="W255" i="3"/>
  <c r="V255" i="3"/>
  <c r="X254" i="3"/>
  <c r="W254" i="3"/>
  <c r="V254" i="3"/>
  <c r="X253" i="3"/>
  <c r="W253" i="3"/>
  <c r="V253" i="3"/>
  <c r="X252" i="3"/>
  <c r="W252" i="3"/>
  <c r="V252" i="3"/>
  <c r="X249" i="3"/>
  <c r="W249" i="3"/>
  <c r="V249" i="3"/>
  <c r="X248" i="3"/>
  <c r="W248" i="3"/>
  <c r="V248" i="3"/>
  <c r="X247" i="3"/>
  <c r="W247" i="3"/>
  <c r="V247" i="3"/>
  <c r="X251" i="3"/>
  <c r="W251" i="3"/>
  <c r="V251" i="3"/>
  <c r="X250" i="3"/>
  <c r="W250" i="3"/>
  <c r="V250" i="3"/>
  <c r="X246" i="3"/>
  <c r="W246" i="3"/>
  <c r="V246" i="3"/>
  <c r="X245" i="3"/>
  <c r="W245" i="3"/>
  <c r="V245" i="3"/>
  <c r="X244" i="3"/>
  <c r="W244" i="3"/>
  <c r="V244" i="3"/>
  <c r="X243" i="3"/>
  <c r="W243" i="3"/>
  <c r="V243" i="3"/>
  <c r="X242" i="3"/>
  <c r="W242" i="3"/>
  <c r="V242" i="3"/>
  <c r="X239" i="3"/>
  <c r="W239" i="3"/>
  <c r="V239" i="3"/>
  <c r="X238" i="3"/>
  <c r="W238" i="3"/>
  <c r="V238" i="3"/>
  <c r="X237" i="3"/>
  <c r="W237" i="3"/>
  <c r="V237" i="3"/>
  <c r="X236" i="3"/>
  <c r="W236" i="3"/>
  <c r="V236" i="3"/>
  <c r="X235" i="3"/>
  <c r="W235" i="3"/>
  <c r="V235" i="3"/>
  <c r="X241" i="3"/>
  <c r="W241" i="3"/>
  <c r="V241" i="3"/>
  <c r="X240" i="3"/>
  <c r="W240" i="3"/>
  <c r="V240" i="3"/>
  <c r="X234" i="3"/>
  <c r="W234" i="3"/>
  <c r="V234" i="3"/>
  <c r="X233" i="3"/>
  <c r="W233" i="3"/>
  <c r="V233" i="3"/>
  <c r="X232" i="3"/>
  <c r="W232" i="3"/>
  <c r="V232" i="3"/>
  <c r="X231" i="3"/>
  <c r="W231" i="3"/>
  <c r="V231" i="3"/>
  <c r="X230" i="3"/>
  <c r="W230" i="3"/>
  <c r="V230" i="3"/>
  <c r="X229" i="3"/>
  <c r="W229" i="3"/>
  <c r="V229" i="3"/>
  <c r="X228" i="3"/>
  <c r="W228" i="3"/>
  <c r="V228" i="3"/>
  <c r="X227" i="3"/>
  <c r="W227" i="3"/>
  <c r="V227" i="3"/>
  <c r="X226" i="3"/>
  <c r="W226" i="3"/>
  <c r="V226" i="3"/>
  <c r="X225" i="3"/>
  <c r="W225" i="3"/>
  <c r="V225" i="3"/>
  <c r="X224" i="3"/>
  <c r="W224" i="3"/>
  <c r="V224" i="3"/>
  <c r="X223" i="3"/>
  <c r="W223" i="3"/>
  <c r="V223" i="3"/>
  <c r="X222" i="3"/>
  <c r="W222" i="3"/>
  <c r="V222" i="3"/>
  <c r="X221" i="3"/>
  <c r="W221" i="3"/>
  <c r="V221" i="3"/>
  <c r="X220" i="3"/>
  <c r="W220" i="3"/>
  <c r="V220" i="3"/>
  <c r="X219" i="3"/>
  <c r="W219" i="3"/>
  <c r="V219" i="3"/>
  <c r="X218" i="3"/>
  <c r="W218" i="3"/>
  <c r="V218" i="3"/>
  <c r="X217" i="3"/>
  <c r="W217" i="3"/>
  <c r="V217" i="3"/>
  <c r="X216" i="3"/>
  <c r="W216" i="3"/>
  <c r="V216" i="3"/>
  <c r="X215" i="3"/>
  <c r="W215" i="3"/>
  <c r="V215" i="3"/>
  <c r="X214" i="3"/>
  <c r="W214" i="3"/>
  <c r="V214" i="3"/>
  <c r="X213" i="3"/>
  <c r="W213" i="3"/>
  <c r="V213" i="3"/>
  <c r="X212" i="3"/>
  <c r="W212" i="3"/>
  <c r="V212" i="3"/>
  <c r="X211" i="3"/>
  <c r="W211" i="3"/>
  <c r="V211" i="3"/>
  <c r="X210" i="3"/>
  <c r="W210" i="3"/>
  <c r="V210" i="3"/>
  <c r="X209" i="3"/>
  <c r="W209" i="3"/>
  <c r="V209" i="3"/>
  <c r="X208" i="3"/>
  <c r="W208" i="3"/>
  <c r="V208" i="3"/>
  <c r="X207" i="3"/>
  <c r="W207" i="3"/>
  <c r="V207" i="3"/>
  <c r="X206" i="3"/>
  <c r="W206" i="3"/>
  <c r="V206" i="3"/>
  <c r="X205" i="3"/>
  <c r="W205" i="3"/>
  <c r="V205" i="3"/>
  <c r="X204" i="3"/>
  <c r="W204" i="3"/>
  <c r="V204" i="3"/>
  <c r="X203" i="3"/>
  <c r="W203" i="3"/>
  <c r="V203" i="3"/>
  <c r="X202" i="3"/>
  <c r="W202" i="3"/>
  <c r="V202" i="3"/>
  <c r="X201" i="3"/>
  <c r="W201" i="3"/>
  <c r="V201" i="3"/>
  <c r="X200" i="3"/>
  <c r="W200" i="3"/>
  <c r="V200" i="3"/>
  <c r="X199" i="3"/>
  <c r="W199" i="3"/>
  <c r="V199" i="3"/>
  <c r="X198" i="3"/>
  <c r="W198" i="3"/>
  <c r="V198" i="3"/>
  <c r="X197" i="3"/>
  <c r="W197" i="3"/>
  <c r="V197" i="3"/>
  <c r="X196" i="3"/>
  <c r="W196" i="3"/>
  <c r="V196" i="3"/>
  <c r="X195" i="3"/>
  <c r="W195" i="3"/>
  <c r="V195" i="3"/>
  <c r="X194" i="3"/>
  <c r="W194" i="3"/>
  <c r="V194" i="3"/>
  <c r="X193" i="3"/>
  <c r="W193" i="3"/>
  <c r="V193" i="3"/>
  <c r="X192" i="3"/>
  <c r="W192" i="3"/>
  <c r="V192" i="3"/>
  <c r="X191" i="3"/>
  <c r="W191" i="3"/>
  <c r="V191" i="3"/>
  <c r="X190" i="3"/>
  <c r="W190" i="3"/>
  <c r="V190" i="3"/>
  <c r="X189" i="3"/>
  <c r="W189" i="3"/>
  <c r="V189" i="3"/>
  <c r="X188" i="3"/>
  <c r="W188" i="3"/>
  <c r="V188" i="3"/>
  <c r="X187" i="3"/>
  <c r="W187" i="3"/>
  <c r="V187" i="3"/>
  <c r="X186" i="3"/>
  <c r="W186" i="3"/>
  <c r="V186" i="3"/>
  <c r="X185" i="3"/>
  <c r="W185" i="3"/>
  <c r="V185" i="3"/>
  <c r="X184" i="3"/>
  <c r="W184" i="3"/>
  <c r="V184" i="3"/>
  <c r="X183" i="3"/>
  <c r="W183" i="3"/>
  <c r="V183" i="3"/>
  <c r="X182" i="3"/>
  <c r="W182" i="3"/>
  <c r="V182" i="3"/>
  <c r="X181" i="3"/>
  <c r="W181" i="3"/>
  <c r="V181" i="3"/>
  <c r="X178" i="3"/>
  <c r="W178" i="3"/>
  <c r="V178" i="3"/>
  <c r="X177" i="3"/>
  <c r="W177" i="3"/>
  <c r="V177" i="3"/>
  <c r="X176" i="3"/>
  <c r="W176" i="3"/>
  <c r="V176" i="3"/>
  <c r="X175" i="3"/>
  <c r="W175" i="3"/>
  <c r="V175" i="3"/>
  <c r="X174" i="3"/>
  <c r="W174" i="3"/>
  <c r="V174" i="3"/>
  <c r="X173" i="3"/>
  <c r="W173" i="3"/>
  <c r="V173" i="3"/>
  <c r="X180" i="3"/>
  <c r="W180" i="3"/>
  <c r="V180" i="3"/>
  <c r="X179" i="3"/>
  <c r="W179" i="3"/>
  <c r="V179" i="3"/>
  <c r="X172" i="3"/>
  <c r="W172" i="3"/>
  <c r="V172" i="3"/>
  <c r="X171" i="3"/>
  <c r="W171" i="3"/>
  <c r="V171" i="3"/>
  <c r="X170" i="3"/>
  <c r="W170" i="3"/>
  <c r="V170" i="3"/>
  <c r="X166" i="3"/>
  <c r="W166" i="3"/>
  <c r="V166" i="3"/>
  <c r="X168" i="3"/>
  <c r="W168" i="3"/>
  <c r="V168" i="3"/>
  <c r="X165" i="3"/>
  <c r="W165" i="3"/>
  <c r="V165" i="3"/>
  <c r="X164" i="3"/>
  <c r="W164" i="3"/>
  <c r="V164" i="3"/>
  <c r="X169" i="3"/>
  <c r="W169" i="3"/>
  <c r="V169" i="3"/>
  <c r="X167" i="3"/>
  <c r="W167" i="3"/>
  <c r="V167" i="3"/>
  <c r="X163" i="3"/>
  <c r="W163" i="3"/>
  <c r="V163" i="3"/>
  <c r="X162" i="3"/>
  <c r="W162" i="3"/>
  <c r="V162" i="3"/>
  <c r="X161" i="3"/>
  <c r="W161" i="3"/>
  <c r="V161" i="3"/>
  <c r="X160" i="3"/>
  <c r="W160" i="3"/>
  <c r="V160" i="3"/>
  <c r="X159" i="3"/>
  <c r="W159" i="3"/>
  <c r="V159" i="3"/>
  <c r="X158" i="3"/>
  <c r="W158" i="3"/>
  <c r="V158" i="3"/>
  <c r="X157" i="3"/>
  <c r="W157" i="3"/>
  <c r="V157" i="3"/>
  <c r="X156" i="3"/>
  <c r="W156" i="3"/>
  <c r="V156" i="3"/>
  <c r="X155" i="3"/>
  <c r="W155" i="3"/>
  <c r="V155" i="3"/>
  <c r="X154" i="3"/>
  <c r="W154" i="3"/>
  <c r="V154" i="3"/>
  <c r="X153" i="3"/>
  <c r="W153" i="3"/>
  <c r="V153" i="3"/>
  <c r="X152" i="3"/>
  <c r="W152" i="3"/>
  <c r="V152" i="3"/>
  <c r="X151" i="3"/>
  <c r="W151" i="3"/>
  <c r="V151" i="3"/>
  <c r="X150" i="3"/>
  <c r="W150" i="3"/>
  <c r="V150" i="3"/>
  <c r="X149" i="3"/>
  <c r="W149" i="3"/>
  <c r="V149" i="3"/>
  <c r="X148" i="3"/>
  <c r="W148" i="3"/>
  <c r="V148" i="3"/>
  <c r="X147" i="3"/>
  <c r="W147" i="3"/>
  <c r="V147" i="3"/>
  <c r="X146" i="3"/>
  <c r="W146" i="3"/>
  <c r="V146" i="3"/>
  <c r="X145" i="3"/>
  <c r="W145" i="3"/>
  <c r="V145" i="3"/>
  <c r="X144" i="3"/>
  <c r="W144" i="3"/>
  <c r="V144" i="3"/>
  <c r="X143" i="3"/>
  <c r="W143" i="3"/>
  <c r="V143" i="3"/>
  <c r="X142" i="3"/>
  <c r="W142" i="3"/>
  <c r="V142" i="3"/>
  <c r="X141" i="3"/>
  <c r="W141" i="3"/>
  <c r="V141" i="3"/>
  <c r="X140" i="3"/>
  <c r="W140" i="3"/>
  <c r="V140" i="3"/>
  <c r="X139" i="3"/>
  <c r="W139" i="3"/>
  <c r="V139" i="3"/>
  <c r="X138" i="3"/>
  <c r="W138" i="3"/>
  <c r="V138" i="3"/>
  <c r="X137" i="3"/>
  <c r="W137" i="3"/>
  <c r="V137" i="3"/>
  <c r="X136" i="3"/>
  <c r="W136" i="3"/>
  <c r="V136" i="3"/>
  <c r="X135" i="3"/>
  <c r="W135" i="3"/>
  <c r="V135" i="3"/>
  <c r="X134" i="3"/>
  <c r="W134" i="3"/>
  <c r="V134" i="3"/>
  <c r="X133" i="3"/>
  <c r="W133" i="3"/>
  <c r="V133" i="3"/>
  <c r="X132" i="3"/>
  <c r="W132" i="3"/>
  <c r="V132" i="3"/>
  <c r="X131" i="3"/>
  <c r="W131" i="3"/>
  <c r="V131" i="3"/>
  <c r="X130" i="3"/>
  <c r="W130" i="3"/>
  <c r="V130" i="3"/>
  <c r="X129" i="3"/>
  <c r="W129" i="3"/>
  <c r="V129" i="3"/>
  <c r="X128" i="3"/>
  <c r="W128" i="3"/>
  <c r="V128" i="3"/>
  <c r="X127" i="3"/>
  <c r="W127" i="3"/>
  <c r="V127" i="3"/>
  <c r="X126" i="3"/>
  <c r="W126" i="3"/>
  <c r="V126" i="3"/>
  <c r="X125" i="3"/>
  <c r="W125" i="3"/>
  <c r="V125" i="3"/>
  <c r="X124" i="3"/>
  <c r="W124" i="3"/>
  <c r="V124" i="3"/>
  <c r="X123" i="3"/>
  <c r="W123" i="3"/>
  <c r="V123" i="3"/>
  <c r="X122" i="3"/>
  <c r="W122" i="3"/>
  <c r="V122" i="3"/>
  <c r="X121" i="3"/>
  <c r="W121" i="3"/>
  <c r="V121" i="3"/>
  <c r="X120" i="3"/>
  <c r="W120" i="3"/>
  <c r="V120" i="3"/>
  <c r="X119" i="3"/>
  <c r="W119" i="3"/>
  <c r="V119" i="3"/>
  <c r="X118" i="3"/>
  <c r="W118" i="3"/>
  <c r="V118" i="3"/>
  <c r="X117" i="3"/>
  <c r="W117" i="3"/>
  <c r="V117" i="3"/>
  <c r="X116" i="3"/>
  <c r="W116" i="3"/>
  <c r="V116" i="3"/>
  <c r="X115" i="3"/>
  <c r="W115" i="3"/>
  <c r="V115" i="3"/>
  <c r="X114" i="3"/>
  <c r="W114" i="3"/>
  <c r="V114" i="3"/>
  <c r="X113" i="3"/>
  <c r="W113" i="3"/>
  <c r="V113" i="3"/>
  <c r="X112" i="3"/>
  <c r="W112" i="3"/>
  <c r="V112" i="3"/>
  <c r="X111" i="3"/>
  <c r="W111" i="3"/>
  <c r="V111" i="3"/>
  <c r="X110" i="3"/>
  <c r="W110" i="3"/>
  <c r="V110" i="3"/>
  <c r="X109" i="3"/>
  <c r="W109" i="3"/>
  <c r="V109" i="3"/>
  <c r="X108" i="3"/>
  <c r="W108" i="3"/>
  <c r="V108" i="3"/>
  <c r="X107" i="3"/>
  <c r="W107" i="3"/>
  <c r="V107" i="3"/>
  <c r="X106" i="3"/>
  <c r="W106" i="3"/>
  <c r="V106" i="3"/>
  <c r="X105" i="3"/>
  <c r="W105" i="3"/>
  <c r="V105" i="3"/>
  <c r="X104" i="3"/>
  <c r="W104" i="3"/>
  <c r="V104" i="3"/>
  <c r="X103" i="3"/>
  <c r="W103" i="3"/>
  <c r="V103" i="3"/>
  <c r="X102" i="3"/>
  <c r="W102" i="3"/>
  <c r="V102" i="3"/>
  <c r="X101" i="3"/>
  <c r="W101" i="3"/>
  <c r="V101" i="3"/>
  <c r="X100" i="3"/>
  <c r="W100" i="3"/>
  <c r="V100" i="3"/>
  <c r="X99" i="3"/>
  <c r="W99" i="3"/>
  <c r="V99" i="3"/>
  <c r="X98" i="3"/>
  <c r="W98" i="3"/>
  <c r="V98" i="3"/>
  <c r="X97" i="3"/>
  <c r="W97" i="3"/>
  <c r="V97" i="3"/>
  <c r="X96" i="3"/>
  <c r="W96" i="3"/>
  <c r="V96" i="3"/>
  <c r="X95" i="3"/>
  <c r="W95" i="3"/>
  <c r="V95" i="3"/>
  <c r="X94" i="3"/>
  <c r="W94" i="3"/>
  <c r="V94" i="3"/>
  <c r="X93" i="3"/>
  <c r="W93" i="3"/>
  <c r="V93" i="3"/>
  <c r="X92" i="3"/>
  <c r="W92" i="3"/>
  <c r="V92" i="3"/>
  <c r="X91" i="3"/>
  <c r="W91" i="3"/>
  <c r="V91" i="3"/>
  <c r="X90" i="3"/>
  <c r="W90" i="3"/>
  <c r="V90" i="3"/>
  <c r="X89" i="3"/>
  <c r="W89" i="3"/>
  <c r="V89" i="3"/>
  <c r="X88" i="3"/>
  <c r="W88" i="3"/>
  <c r="V88" i="3"/>
  <c r="X87" i="3"/>
  <c r="W87" i="3"/>
  <c r="V87" i="3"/>
  <c r="X86" i="3"/>
  <c r="W86" i="3"/>
  <c r="V86" i="3"/>
  <c r="X85" i="3"/>
  <c r="W85" i="3"/>
  <c r="V85" i="3"/>
  <c r="X84" i="3"/>
  <c r="W84" i="3"/>
  <c r="V84" i="3"/>
  <c r="X83" i="3"/>
  <c r="W83" i="3"/>
  <c r="V83" i="3"/>
  <c r="X82" i="3"/>
  <c r="W82" i="3"/>
  <c r="V82" i="3"/>
  <c r="X81" i="3"/>
  <c r="W81" i="3"/>
  <c r="V81" i="3"/>
  <c r="X80" i="3"/>
  <c r="W80" i="3"/>
  <c r="V80" i="3"/>
  <c r="X79" i="3"/>
  <c r="W79" i="3"/>
  <c r="V79" i="3"/>
  <c r="X78" i="3"/>
  <c r="W78" i="3"/>
  <c r="V78" i="3"/>
  <c r="X77" i="3"/>
  <c r="W77" i="3"/>
  <c r="V77" i="3"/>
  <c r="X76" i="3"/>
  <c r="W76" i="3"/>
  <c r="V76" i="3"/>
  <c r="X75" i="3"/>
  <c r="W75" i="3"/>
  <c r="V75" i="3"/>
  <c r="X74" i="3"/>
  <c r="W74" i="3"/>
  <c r="V74" i="3"/>
  <c r="X73" i="3"/>
  <c r="W73" i="3"/>
  <c r="V73" i="3"/>
  <c r="X72" i="3"/>
  <c r="W72" i="3"/>
  <c r="V72" i="3"/>
  <c r="X71" i="3"/>
  <c r="W71" i="3"/>
  <c r="V71" i="3"/>
  <c r="X70" i="3"/>
  <c r="W70" i="3"/>
  <c r="V70" i="3"/>
  <c r="X69" i="3"/>
  <c r="W69" i="3"/>
  <c r="V69" i="3"/>
  <c r="X68" i="3"/>
  <c r="W68" i="3"/>
  <c r="V68" i="3"/>
  <c r="X67" i="3"/>
  <c r="W67" i="3"/>
  <c r="V67" i="3"/>
  <c r="X66" i="3"/>
  <c r="W66" i="3"/>
  <c r="V66" i="3"/>
  <c r="X65" i="3"/>
  <c r="W65" i="3"/>
  <c r="V65" i="3"/>
  <c r="X64" i="3"/>
  <c r="W64" i="3"/>
  <c r="V64" i="3"/>
  <c r="X63" i="3"/>
  <c r="W63" i="3"/>
  <c r="V63" i="3"/>
  <c r="X62" i="3"/>
  <c r="W62" i="3"/>
  <c r="V62" i="3"/>
  <c r="X61" i="3"/>
  <c r="W61" i="3"/>
  <c r="V61" i="3"/>
  <c r="X60" i="3"/>
  <c r="W60" i="3"/>
  <c r="V60" i="3"/>
  <c r="X59" i="3"/>
  <c r="W59" i="3"/>
  <c r="V59" i="3"/>
  <c r="X58" i="3"/>
  <c r="W58" i="3"/>
  <c r="V58" i="3"/>
  <c r="X57" i="3"/>
  <c r="W57" i="3"/>
  <c r="V57" i="3"/>
  <c r="X56" i="3"/>
  <c r="W56" i="3"/>
  <c r="V56" i="3"/>
  <c r="X55" i="3"/>
  <c r="W55" i="3"/>
  <c r="V55" i="3"/>
  <c r="X54" i="3"/>
  <c r="W54" i="3"/>
  <c r="V54" i="3"/>
  <c r="X53" i="3"/>
  <c r="W53" i="3"/>
  <c r="V53" i="3"/>
  <c r="X52" i="3"/>
  <c r="W52" i="3"/>
  <c r="V52" i="3"/>
  <c r="X51" i="3"/>
  <c r="W51" i="3"/>
  <c r="V51" i="3"/>
  <c r="X50" i="3"/>
  <c r="W50" i="3"/>
  <c r="V50" i="3"/>
  <c r="X49" i="3"/>
  <c r="W49" i="3"/>
  <c r="V49" i="3"/>
  <c r="X48" i="3"/>
  <c r="W48" i="3"/>
  <c r="V48" i="3"/>
  <c r="X47" i="3"/>
  <c r="W47" i="3"/>
  <c r="V47" i="3"/>
  <c r="X46" i="3"/>
  <c r="W46" i="3"/>
  <c r="V46" i="3"/>
  <c r="X45" i="3"/>
  <c r="W45" i="3"/>
  <c r="V45" i="3"/>
  <c r="X44" i="3"/>
  <c r="W44" i="3"/>
  <c r="V44" i="3"/>
  <c r="X43" i="3"/>
  <c r="W43" i="3"/>
  <c r="V43" i="3"/>
  <c r="X42" i="3"/>
  <c r="W42" i="3"/>
  <c r="V42" i="3"/>
  <c r="X41" i="3"/>
  <c r="W41" i="3"/>
  <c r="V41" i="3"/>
  <c r="X40" i="3"/>
  <c r="W40" i="3"/>
  <c r="V40" i="3"/>
  <c r="X39" i="3"/>
  <c r="W39" i="3"/>
  <c r="V39" i="3"/>
  <c r="X38" i="3"/>
  <c r="W38" i="3"/>
  <c r="V38" i="3"/>
  <c r="X37" i="3"/>
  <c r="W37" i="3"/>
  <c r="V37" i="3"/>
  <c r="X36" i="3"/>
  <c r="W36" i="3"/>
  <c r="V36" i="3"/>
  <c r="X35" i="3"/>
  <c r="W35" i="3"/>
  <c r="V35" i="3"/>
  <c r="X34" i="3"/>
  <c r="W34" i="3"/>
  <c r="V34" i="3"/>
  <c r="X33" i="3"/>
  <c r="W33" i="3"/>
  <c r="V33" i="3"/>
  <c r="X32" i="3"/>
  <c r="W32" i="3"/>
  <c r="V32" i="3"/>
  <c r="X31" i="3"/>
  <c r="W31" i="3"/>
  <c r="V31" i="3"/>
  <c r="X30" i="3"/>
  <c r="W30" i="3"/>
  <c r="V30" i="3"/>
  <c r="X29" i="3"/>
  <c r="W29" i="3"/>
  <c r="V29" i="3"/>
  <c r="X28" i="3"/>
  <c r="W28" i="3"/>
  <c r="V28" i="3"/>
  <c r="X27" i="3"/>
  <c r="W27" i="3"/>
  <c r="V27" i="3"/>
  <c r="X26" i="3"/>
  <c r="W26" i="3"/>
  <c r="V26" i="3"/>
  <c r="X25" i="3"/>
  <c r="W25" i="3"/>
  <c r="V25" i="3"/>
  <c r="X24" i="3"/>
  <c r="W24" i="3"/>
  <c r="V24" i="3"/>
  <c r="X23" i="3"/>
  <c r="W23" i="3"/>
  <c r="V23" i="3"/>
  <c r="X22" i="3"/>
  <c r="W22" i="3"/>
  <c r="V22" i="3"/>
  <c r="X21" i="3"/>
  <c r="W21" i="3"/>
  <c r="V21" i="3"/>
  <c r="X20" i="3"/>
  <c r="W20" i="3"/>
  <c r="V20" i="3"/>
  <c r="X19" i="3"/>
  <c r="W19" i="3"/>
  <c r="V19" i="3"/>
  <c r="X18" i="3"/>
  <c r="W18" i="3"/>
  <c r="V18" i="3"/>
  <c r="X17" i="3"/>
  <c r="W17" i="3"/>
  <c r="V17" i="3"/>
  <c r="X16" i="3"/>
  <c r="W16" i="3"/>
  <c r="V16" i="3"/>
  <c r="X15" i="3"/>
  <c r="W15" i="3"/>
  <c r="V15" i="3"/>
  <c r="X14" i="3"/>
  <c r="W14" i="3"/>
  <c r="V14" i="3"/>
  <c r="X13" i="3"/>
  <c r="W13" i="3"/>
  <c r="V13" i="3"/>
  <c r="X12" i="3"/>
  <c r="W12" i="3"/>
  <c r="V12" i="3"/>
  <c r="X11" i="3"/>
  <c r="W11" i="3"/>
  <c r="V11" i="3"/>
  <c r="X10" i="3"/>
  <c r="W10" i="3"/>
  <c r="V10" i="3"/>
  <c r="X9" i="3"/>
  <c r="W9" i="3"/>
  <c r="V9" i="3"/>
  <c r="X8" i="3"/>
  <c r="W8" i="3"/>
  <c r="V8" i="3"/>
  <c r="X7" i="3"/>
  <c r="W7" i="3"/>
  <c r="V7" i="3"/>
  <c r="X6" i="3"/>
  <c r="W6" i="3"/>
  <c r="V6" i="3"/>
  <c r="X5" i="3"/>
  <c r="W5" i="3"/>
  <c r="V5" i="3"/>
  <c r="X4" i="3"/>
  <c r="W4" i="3"/>
  <c r="V4" i="3"/>
  <c r="X3" i="3"/>
  <c r="W3" i="3"/>
  <c r="V3" i="3"/>
  <c r="X2" i="3"/>
  <c r="W2" i="3"/>
  <c r="V2" i="3"/>
  <c r="ID58" i="8"/>
  <c r="EL58" i="8"/>
  <c r="GE57" i="8"/>
  <c r="GH58" i="8"/>
  <c r="CA57" i="8"/>
  <c r="DB58" i="8"/>
  <c r="AQ57" i="8"/>
  <c r="EU57" i="8"/>
  <c r="EX58" i="8"/>
  <c r="FJ58" i="8"/>
  <c r="EI57" i="8"/>
  <c r="FG57" i="8"/>
  <c r="HR58" i="8"/>
  <c r="DN58" i="8"/>
  <c r="HO57" i="8"/>
  <c r="DK57" i="8"/>
  <c r="HC58" i="8"/>
  <c r="BO58" i="8"/>
  <c r="CP58" i="8"/>
  <c r="CD58" i="8"/>
  <c r="CY57" i="8"/>
  <c r="FS58" i="8"/>
  <c r="BF58" i="8"/>
  <c r="IA57" i="8"/>
  <c r="GT58" i="8"/>
  <c r="GQ57" i="8"/>
  <c r="J58" i="8"/>
  <c r="AE58" i="8"/>
  <c r="G57" i="8"/>
  <c r="V58" i="8"/>
  <c r="S57" i="8"/>
  <c r="DZ58" i="8"/>
  <c r="DW57" i="8"/>
  <c r="CM57" i="8"/>
  <c r="AT58" i="8"/>
  <c r="BC57" i="8"/>
  <c r="M6" i="30" l="1"/>
  <c r="M9" i="30"/>
  <c r="M12" i="30"/>
  <c r="M3" i="30"/>
  <c r="M2" i="30"/>
  <c r="L4" i="30"/>
  <c r="AC57" i="8"/>
  <c r="M18" i="30"/>
  <c r="M21" i="30"/>
  <c r="L16" i="30"/>
  <c r="FQ57" i="8"/>
  <c r="M10" i="30"/>
  <c r="L7" i="30"/>
  <c r="BM57" i="8"/>
  <c r="L19" i="30"/>
  <c r="HA57" i="8"/>
  <c r="M11" i="30"/>
  <c r="M20" i="30"/>
  <c r="M15" i="30"/>
  <c r="M13" i="30"/>
  <c r="M14" i="30"/>
  <c r="M5" i="30"/>
  <c r="M8" i="30"/>
  <c r="M17" i="30"/>
  <c r="ES793" i="8"/>
  <c r="FQ793" i="8"/>
  <c r="HM793" i="8"/>
  <c r="GO793" i="8"/>
  <c r="BA793" i="8"/>
  <c r="AO793" i="8"/>
  <c r="GC793" i="8"/>
  <c r="HY793" i="8"/>
  <c r="DU793" i="8"/>
  <c r="AC793" i="8"/>
  <c r="FE793" i="8"/>
  <c r="E793" i="8"/>
  <c r="CW793" i="8"/>
  <c r="DI793" i="8"/>
  <c r="BY793" i="8"/>
  <c r="HA793" i="8"/>
  <c r="Q793" i="8"/>
  <c r="CK793" i="8"/>
  <c r="EG793" i="8"/>
  <c r="BM793" i="8"/>
  <c r="CY58" i="8"/>
  <c r="AQ58" i="8"/>
  <c r="CM58" i="8"/>
  <c r="EI58" i="8"/>
  <c r="DW58" i="8"/>
  <c r="S58" i="8"/>
  <c r="EU58" i="8"/>
  <c r="CA58" i="8"/>
  <c r="GE58" i="8"/>
  <c r="IA58" i="8"/>
  <c r="FG58" i="8"/>
  <c r="DK58" i="8"/>
  <c r="HO58" i="8"/>
  <c r="G58" i="8"/>
  <c r="GQ58" i="8"/>
  <c r="BC58" i="8"/>
  <c r="L6" i="30" l="1"/>
  <c r="BA57" i="8"/>
  <c r="L18" i="30"/>
  <c r="GO57" i="8"/>
  <c r="L2" i="30"/>
  <c r="E57" i="8"/>
  <c r="L20" i="30"/>
  <c r="HM57" i="8"/>
  <c r="L11" i="30"/>
  <c r="DI57" i="8"/>
  <c r="L15" i="30"/>
  <c r="FE57" i="8"/>
  <c r="L21" i="30"/>
  <c r="HY57" i="8"/>
  <c r="L17" i="30"/>
  <c r="GC57" i="8"/>
  <c r="L8" i="30"/>
  <c r="BY57" i="8"/>
  <c r="L14" i="30"/>
  <c r="ES57" i="8"/>
  <c r="L3" i="30"/>
  <c r="Q57" i="8"/>
  <c r="L12" i="30"/>
  <c r="DU57" i="8"/>
  <c r="L13" i="30"/>
  <c r="EG57" i="8"/>
  <c r="L9" i="30"/>
  <c r="CK57" i="8"/>
  <c r="L5" i="30"/>
  <c r="AO57" i="8"/>
  <c r="L10" i="30"/>
  <c r="CW57" i="8"/>
  <c r="GT792" i="8"/>
  <c r="A2" i="30"/>
  <c r="B52" i="8" s="1"/>
  <c r="A14" i="30"/>
  <c r="EP52" i="8" s="1"/>
  <c r="A13" i="30"/>
  <c r="ED52" i="8" s="1"/>
  <c r="A5" i="30"/>
  <c r="AL52" i="8" s="1"/>
  <c r="A9" i="30"/>
  <c r="CH52" i="8" s="1"/>
  <c r="A10" i="30"/>
  <c r="CT52" i="8" s="1"/>
  <c r="A11" i="30"/>
  <c r="DF52" i="8" s="1"/>
  <c r="A18" i="30"/>
  <c r="GL52" i="8" s="1"/>
  <c r="A19" i="30"/>
  <c r="GX52" i="8" s="1"/>
  <c r="A20" i="30"/>
  <c r="HJ52" i="8" s="1"/>
  <c r="A6" i="30"/>
  <c r="AX52" i="8" s="1"/>
  <c r="A17" i="30"/>
  <c r="FZ52" i="8" s="1"/>
  <c r="A7" i="30"/>
  <c r="BJ52" i="8" s="1"/>
  <c r="A16" i="30"/>
  <c r="FN52" i="8" s="1"/>
  <c r="A4" i="30"/>
  <c r="Z52" i="8" s="1"/>
  <c r="A15" i="30"/>
  <c r="FB52" i="8" s="1"/>
  <c r="A21" i="30"/>
  <c r="HV52" i="8" s="1"/>
  <c r="A12" i="30"/>
  <c r="DR52" i="8" s="1"/>
  <c r="A3" i="30"/>
  <c r="N52" i="8" s="1"/>
  <c r="A8" i="30"/>
  <c r="BV52" i="8" s="1"/>
  <c r="GT797" i="8"/>
  <c r="FV792" i="8" l="1"/>
  <c r="V792" i="8"/>
  <c r="R12" i="32"/>
  <c r="R9" i="32"/>
  <c r="R8" i="32"/>
  <c r="R21" i="32"/>
  <c r="R5" i="32"/>
  <c r="R20" i="32"/>
  <c r="R2" i="32"/>
  <c r="R7" i="32"/>
  <c r="R13" i="32"/>
  <c r="R3" i="32"/>
  <c r="R17" i="32"/>
  <c r="R18" i="32"/>
  <c r="R14" i="32"/>
  <c r="R15" i="32"/>
  <c r="R16" i="32"/>
  <c r="R19" i="32"/>
  <c r="R11" i="32"/>
  <c r="R4" i="32"/>
  <c r="R6" i="32"/>
  <c r="R10" i="32"/>
  <c r="CD792" i="8"/>
  <c r="DZ792" i="8"/>
  <c r="J792" i="8"/>
  <c r="HR792" i="8"/>
  <c r="GH792" i="8"/>
  <c r="DB792" i="8"/>
  <c r="ID792" i="8"/>
  <c r="HF792" i="8"/>
  <c r="DN792" i="8"/>
  <c r="EL792" i="8"/>
  <c r="CP792" i="8"/>
  <c r="FJ792" i="8"/>
  <c r="EX792" i="8"/>
  <c r="AH792" i="8"/>
  <c r="BF792" i="8"/>
  <c r="AT792" i="8"/>
  <c r="BR792" i="8"/>
  <c r="GI790" i="8"/>
  <c r="O3" i="32"/>
  <c r="D3" i="32"/>
  <c r="F3" i="32"/>
  <c r="E3" i="32"/>
  <c r="AU790" i="8"/>
  <c r="GU790" i="8"/>
  <c r="K790" i="8"/>
  <c r="EY790" i="8"/>
  <c r="N3" i="32"/>
  <c r="DO790" i="8"/>
  <c r="CQ790" i="8"/>
  <c r="DC790" i="8"/>
  <c r="FK790" i="8"/>
  <c r="G19" i="32"/>
  <c r="B2" i="32"/>
  <c r="C2" i="32" s="1"/>
  <c r="F11" i="32"/>
  <c r="EM790" i="8"/>
  <c r="S11" i="32"/>
  <c r="Q11" i="32" s="1"/>
  <c r="H17" i="32"/>
  <c r="S7" i="32"/>
  <c r="Q7" i="32" s="1"/>
  <c r="H4" i="32"/>
  <c r="K2" i="32"/>
  <c r="G7" i="32"/>
  <c r="P16" i="32"/>
  <c r="I6" i="32"/>
  <c r="K11" i="32"/>
  <c r="K12" i="32"/>
  <c r="S2" i="32"/>
  <c r="Q2" i="32" s="1"/>
  <c r="J11" i="32"/>
  <c r="B16" i="32"/>
  <c r="C16" i="32" s="1"/>
  <c r="P13" i="32"/>
  <c r="H10" i="32"/>
  <c r="P11" i="32"/>
  <c r="P20" i="32"/>
  <c r="P19" i="32"/>
  <c r="D19" i="32"/>
  <c r="I17" i="32"/>
  <c r="H2" i="32"/>
  <c r="D8" i="32"/>
  <c r="H13" i="32"/>
  <c r="E9" i="32"/>
  <c r="H7" i="32"/>
  <c r="D16" i="32"/>
  <c r="K8" i="32"/>
  <c r="D15" i="32"/>
  <c r="H8" i="32"/>
  <c r="I19" i="32"/>
  <c r="O6" i="32"/>
  <c r="I13" i="32"/>
  <c r="O11" i="32"/>
  <c r="P14" i="32"/>
  <c r="I5" i="32"/>
  <c r="I9" i="32"/>
  <c r="HG790" i="8"/>
  <c r="F21" i="32"/>
  <c r="S16" i="32"/>
  <c r="Q16" i="32" s="1"/>
  <c r="H21" i="32"/>
  <c r="I8" i="32"/>
  <c r="G16" i="32"/>
  <c r="S6" i="32"/>
  <c r="Q6" i="32" s="1"/>
  <c r="G8" i="32"/>
  <c r="G6" i="32"/>
  <c r="B8" i="32"/>
  <c r="C8" i="32" s="1"/>
  <c r="J2" i="32"/>
  <c r="I12" i="32"/>
  <c r="E8" i="32"/>
  <c r="O17" i="32"/>
  <c r="H19" i="32"/>
  <c r="E2" i="32"/>
  <c r="B21" i="32"/>
  <c r="C21" i="32" s="1"/>
  <c r="D7" i="32"/>
  <c r="J10" i="32"/>
  <c r="F19" i="32"/>
  <c r="O2" i="32"/>
  <c r="S19" i="32"/>
  <c r="Q19" i="32" s="1"/>
  <c r="D2" i="32"/>
  <c r="K7" i="32"/>
  <c r="F16" i="32"/>
  <c r="AI790" i="8"/>
  <c r="F12" i="32"/>
  <c r="B7" i="32"/>
  <c r="C7" i="32" s="1"/>
  <c r="I2" i="32"/>
  <c r="I16" i="32"/>
  <c r="K6" i="32"/>
  <c r="E16" i="32"/>
  <c r="B19" i="32"/>
  <c r="C19" i="32" s="1"/>
  <c r="B17" i="32"/>
  <c r="C17" i="32" s="1"/>
  <c r="D10" i="32"/>
  <c r="E11" i="32"/>
  <c r="P2" i="32"/>
  <c r="O12" i="32"/>
  <c r="I7" i="32"/>
  <c r="P10" i="32"/>
  <c r="D11" i="32"/>
  <c r="J7" i="32"/>
  <c r="N15" i="32"/>
  <c r="K17" i="32"/>
  <c r="K10" i="32"/>
  <c r="S17" i="32"/>
  <c r="Q17" i="32" s="1"/>
  <c r="P4" i="32"/>
  <c r="G2" i="32"/>
  <c r="B6" i="32"/>
  <c r="C6" i="32" s="1"/>
  <c r="K21" i="32"/>
  <c r="B10" i="32"/>
  <c r="C10" i="32" s="1"/>
  <c r="B4" i="32"/>
  <c r="C4" i="32" s="1"/>
  <c r="E18" i="32"/>
  <c r="B11" i="32"/>
  <c r="C11" i="32" s="1"/>
  <c r="B13" i="32"/>
  <c r="C13" i="32" s="1"/>
  <c r="K18" i="32"/>
  <c r="E7" i="32"/>
  <c r="F2" i="32"/>
  <c r="N2" i="32"/>
  <c r="S5" i="32"/>
  <c r="Q5" i="32" s="1"/>
  <c r="S4" i="32"/>
  <c r="Q4" i="32" s="1"/>
  <c r="B20" i="32"/>
  <c r="C20" i="32" s="1"/>
  <c r="J20" i="32"/>
  <c r="I3" i="32"/>
  <c r="P12" i="32"/>
  <c r="S20" i="32"/>
  <c r="Q20" i="32" s="1"/>
  <c r="D13" i="32"/>
  <c r="N17" i="32"/>
  <c r="B14" i="32"/>
  <c r="C14" i="32" s="1"/>
  <c r="K4" i="32"/>
  <c r="E21" i="32"/>
  <c r="K13" i="32"/>
  <c r="I10" i="32"/>
  <c r="BG790" i="8"/>
  <c r="E19" i="32"/>
  <c r="D5" i="32"/>
  <c r="E15" i="32"/>
  <c r="I15" i="32"/>
  <c r="P15" i="32"/>
  <c r="HS790" i="8"/>
  <c r="G15" i="32"/>
  <c r="J15" i="32"/>
  <c r="O15" i="32"/>
  <c r="H15" i="32"/>
  <c r="G14" i="32"/>
  <c r="E5" i="32"/>
  <c r="G17" i="32"/>
  <c r="H5" i="32"/>
  <c r="E13" i="32"/>
  <c r="P7" i="32"/>
  <c r="J18" i="32"/>
  <c r="F14" i="32"/>
  <c r="J16" i="32"/>
  <c r="E6" i="32"/>
  <c r="O19" i="32"/>
  <c r="F17" i="32"/>
  <c r="O4" i="32"/>
  <c r="S21" i="32"/>
  <c r="Q21" i="32" s="1"/>
  <c r="W790" i="8"/>
  <c r="P9" i="32"/>
  <c r="D12" i="32"/>
  <c r="J14" i="32"/>
  <c r="E17" i="32"/>
  <c r="J12" i="32"/>
  <c r="S10" i="32"/>
  <c r="Q10" i="32" s="1"/>
  <c r="E10" i="32"/>
  <c r="O21" i="32"/>
  <c r="K16" i="32"/>
  <c r="O13" i="32"/>
  <c r="H12" i="32"/>
  <c r="J9" i="32"/>
  <c r="N10" i="32"/>
  <c r="N4" i="32"/>
  <c r="N21" i="32"/>
  <c r="N8" i="32"/>
  <c r="I4" i="32"/>
  <c r="B5" i="32"/>
  <c r="C5" i="32" s="1"/>
  <c r="J21" i="32"/>
  <c r="F9" i="32"/>
  <c r="B3" i="32"/>
  <c r="C3" i="32" s="1"/>
  <c r="G12" i="32"/>
  <c r="J17" i="32"/>
  <c r="D17" i="32"/>
  <c r="O14" i="32"/>
  <c r="S15" i="32"/>
  <c r="Q15" i="32" s="1"/>
  <c r="P6" i="32"/>
  <c r="E4" i="32"/>
  <c r="H9" i="32"/>
  <c r="G9" i="32"/>
  <c r="FW790" i="8"/>
  <c r="K15" i="32"/>
  <c r="J13" i="32"/>
  <c r="S18" i="32"/>
  <c r="Q18" i="32" s="1"/>
  <c r="D21" i="32"/>
  <c r="I21" i="32"/>
  <c r="O10" i="32"/>
  <c r="E14" i="32"/>
  <c r="B18" i="32"/>
  <c r="C18" i="32" s="1"/>
  <c r="O16" i="32"/>
  <c r="P17" i="32"/>
  <c r="S9" i="32"/>
  <c r="Q9" i="32" s="1"/>
  <c r="B12" i="32"/>
  <c r="C12" i="32" s="1"/>
  <c r="G3" i="32"/>
  <c r="G21" i="32"/>
  <c r="F8" i="32"/>
  <c r="K14" i="32"/>
  <c r="J6" i="32"/>
  <c r="H16" i="32"/>
  <c r="J5" i="32"/>
  <c r="F18" i="32"/>
  <c r="F5" i="32"/>
  <c r="O7" i="32"/>
  <c r="D6" i="32"/>
  <c r="B15" i="32"/>
  <c r="C15" i="32" s="1"/>
  <c r="N11" i="32"/>
  <c r="F10" i="32"/>
  <c r="K9" i="32"/>
  <c r="BS790" i="8"/>
  <c r="O18" i="32"/>
  <c r="P3" i="32"/>
  <c r="E12" i="32"/>
  <c r="G13" i="32"/>
  <c r="F13" i="32"/>
  <c r="G11" i="32"/>
  <c r="I11" i="32"/>
  <c r="H18" i="32"/>
  <c r="G10" i="32"/>
  <c r="H14" i="32"/>
  <c r="P8" i="32"/>
  <c r="H11" i="32"/>
  <c r="N16" i="32"/>
  <c r="G4" i="32"/>
  <c r="F7" i="32"/>
  <c r="O8" i="32"/>
  <c r="D18" i="32"/>
  <c r="K20" i="32"/>
  <c r="D9" i="32"/>
  <c r="S3" i="32"/>
  <c r="Q3" i="32" s="1"/>
  <c r="O20" i="32"/>
  <c r="O9" i="32"/>
  <c r="B9" i="32"/>
  <c r="C9" i="32" s="1"/>
  <c r="K19" i="32"/>
  <c r="S14" i="32"/>
  <c r="Q14" i="32" s="1"/>
  <c r="E20" i="32"/>
  <c r="D14" i="32"/>
  <c r="K5" i="32"/>
  <c r="J3" i="32"/>
  <c r="F20" i="32"/>
  <c r="H3" i="32"/>
  <c r="CE790" i="8"/>
  <c r="P5" i="32"/>
  <c r="P21" i="32"/>
  <c r="F4" i="32"/>
  <c r="P18" i="32"/>
  <c r="S13" i="32"/>
  <c r="Q13" i="32" s="1"/>
  <c r="J8" i="32"/>
  <c r="G20" i="32"/>
  <c r="G5" i="32"/>
  <c r="S12" i="32"/>
  <c r="Q12" i="32" s="1"/>
  <c r="K3" i="32"/>
  <c r="EA790" i="8"/>
  <c r="I18" i="32"/>
  <c r="I20" i="32"/>
  <c r="G18" i="32"/>
  <c r="IE790" i="8"/>
  <c r="H6" i="32"/>
  <c r="D4" i="32"/>
  <c r="J4" i="32"/>
  <c r="F15" i="32"/>
  <c r="F6" i="32"/>
  <c r="S8" i="32"/>
  <c r="Q8" i="32" s="1"/>
  <c r="I14" i="32"/>
  <c r="N18" i="32"/>
  <c r="D20" i="32"/>
  <c r="O5" i="32"/>
  <c r="J19" i="32"/>
  <c r="H20" i="32"/>
  <c r="N20" i="32"/>
  <c r="GQ792" i="8"/>
  <c r="GO796" i="8"/>
  <c r="GO797" i="8"/>
  <c r="GT793" i="8"/>
  <c r="FS792" i="8"/>
  <c r="J793" i="8"/>
  <c r="EU792" i="8"/>
  <c r="BF793" i="8"/>
  <c r="V797" i="8"/>
  <c r="HR793" i="8"/>
  <c r="FG792" i="8"/>
  <c r="GE792" i="8"/>
  <c r="CP793" i="8"/>
  <c r="DB793" i="8"/>
  <c r="DN797" i="8"/>
  <c r="DZ797" i="8"/>
  <c r="ID797" i="8"/>
  <c r="EL793" i="8"/>
  <c r="AH797" i="8"/>
  <c r="BO792" i="8"/>
  <c r="HF793" i="8"/>
  <c r="AT797" i="8"/>
  <c r="CA792" i="8"/>
  <c r="N7" i="32" l="1"/>
  <c r="N14" i="32"/>
  <c r="N6" i="32"/>
  <c r="N12" i="32"/>
  <c r="N9" i="32"/>
  <c r="N5" i="32"/>
  <c r="N19" i="32"/>
  <c r="N13" i="32"/>
  <c r="EP794" i="8"/>
  <c r="EP796" i="8"/>
  <c r="EP795" i="8"/>
  <c r="B796" i="8"/>
  <c r="B795" i="8"/>
  <c r="B794" i="8"/>
  <c r="HJ794" i="8"/>
  <c r="HJ796" i="8"/>
  <c r="HJ795" i="8"/>
  <c r="FZ795" i="8"/>
  <c r="FZ796" i="8"/>
  <c r="FZ794" i="8"/>
  <c r="DF796" i="8"/>
  <c r="DF795" i="8"/>
  <c r="DF794" i="8"/>
  <c r="AX796" i="8"/>
  <c r="AX794" i="8"/>
  <c r="AX795" i="8"/>
  <c r="CH795" i="8"/>
  <c r="CH794" i="8"/>
  <c r="CH796" i="8"/>
  <c r="GX795" i="8"/>
  <c r="GX794" i="8"/>
  <c r="GX796" i="8"/>
  <c r="FN794" i="8"/>
  <c r="FN795" i="8"/>
  <c r="FN796" i="8"/>
  <c r="CT794" i="8"/>
  <c r="CT796" i="8"/>
  <c r="CT795" i="8"/>
  <c r="Z794" i="8"/>
  <c r="Z796" i="8"/>
  <c r="Z795" i="8"/>
  <c r="M8" i="32"/>
  <c r="DR795" i="8"/>
  <c r="DR796" i="8"/>
  <c r="DR794" i="8"/>
  <c r="GL795" i="8"/>
  <c r="GL796" i="8"/>
  <c r="GL794" i="8"/>
  <c r="BJ795" i="8"/>
  <c r="BJ794" i="8"/>
  <c r="BJ796" i="8"/>
  <c r="AL795" i="8"/>
  <c r="AL796" i="8"/>
  <c r="AL794" i="8"/>
  <c r="FB795" i="8"/>
  <c r="FB796" i="8"/>
  <c r="FB794" i="8"/>
  <c r="HV794" i="8"/>
  <c r="HV796" i="8"/>
  <c r="HV795" i="8"/>
  <c r="ED795" i="8"/>
  <c r="ED796" i="8"/>
  <c r="ED794" i="8"/>
  <c r="N796" i="8"/>
  <c r="N795" i="8"/>
  <c r="N794" i="8"/>
  <c r="BV796" i="8"/>
  <c r="BV794" i="8"/>
  <c r="BV795" i="8"/>
  <c r="EL794" i="8"/>
  <c r="DI796" i="8"/>
  <c r="DK792" i="8"/>
  <c r="CP797" i="8"/>
  <c r="HC792" i="8"/>
  <c r="AT793" i="8"/>
  <c r="EI793" i="8"/>
  <c r="ID793" i="8"/>
  <c r="HC793" i="8"/>
  <c r="AE792" i="8"/>
  <c r="DB794" i="8"/>
  <c r="GH797" i="8"/>
  <c r="AH793" i="8"/>
  <c r="AO797" i="8"/>
  <c r="EI792" i="8"/>
  <c r="HR797" i="8"/>
  <c r="HO793" i="8"/>
  <c r="AQ792" i="8"/>
  <c r="J797" i="8"/>
  <c r="AC796" i="8"/>
  <c r="HO792" i="8"/>
  <c r="CP794" i="8"/>
  <c r="EX797" i="8"/>
  <c r="FV793" i="8"/>
  <c r="GQ793" i="8"/>
  <c r="GH793" i="8"/>
  <c r="CY793" i="8"/>
  <c r="CM792" i="8"/>
  <c r="HY797" i="8"/>
  <c r="HF797" i="8"/>
  <c r="BF794" i="8"/>
  <c r="G792" i="8"/>
  <c r="CD793" i="8"/>
  <c r="CM793" i="8"/>
  <c r="HF794" i="8"/>
  <c r="AC797" i="8"/>
  <c r="BR797" i="8"/>
  <c r="S792" i="8"/>
  <c r="HY796" i="8"/>
  <c r="BF797" i="8"/>
  <c r="Q796" i="8"/>
  <c r="GT794" i="8"/>
  <c r="DI797" i="8"/>
  <c r="FJ797" i="8"/>
  <c r="DZ793" i="8"/>
  <c r="J794" i="8"/>
  <c r="CY792" i="8"/>
  <c r="EX793" i="8"/>
  <c r="DW792" i="8"/>
  <c r="DU796" i="8"/>
  <c r="AO796" i="8"/>
  <c r="G793" i="8"/>
  <c r="HR794" i="8"/>
  <c r="CD797" i="8"/>
  <c r="EL797" i="8"/>
  <c r="DB797" i="8"/>
  <c r="FJ793" i="8"/>
  <c r="DN793" i="8"/>
  <c r="FV797" i="8"/>
  <c r="Q797" i="8"/>
  <c r="BR793" i="8"/>
  <c r="BC793" i="8"/>
  <c r="DU797" i="8"/>
  <c r="V793" i="8"/>
  <c r="BC792" i="8"/>
  <c r="IA792" i="8"/>
  <c r="M12" i="32" l="1"/>
  <c r="M6" i="32"/>
  <c r="M20" i="32"/>
  <c r="M21" i="32"/>
  <c r="M16" i="32"/>
  <c r="M17" i="32"/>
  <c r="M10" i="32"/>
  <c r="M13" i="32"/>
  <c r="M11" i="32"/>
  <c r="M4" i="32"/>
  <c r="M19" i="32"/>
  <c r="M2" i="32"/>
  <c r="M15" i="32"/>
  <c r="M5" i="32"/>
  <c r="M18" i="32"/>
  <c r="M7" i="32"/>
  <c r="M14" i="32"/>
  <c r="M3" i="32"/>
  <c r="M9" i="32"/>
  <c r="EP793" i="8"/>
  <c r="EP792" i="8"/>
  <c r="EY789" i="8" s="1"/>
  <c r="GX792" i="8"/>
  <c r="HG789" i="8" s="1"/>
  <c r="CH792" i="8"/>
  <c r="CQ789" i="8" s="1"/>
  <c r="B792" i="8"/>
  <c r="K789" i="8" s="1"/>
  <c r="GL792" i="8"/>
  <c r="GU789" i="8" s="1"/>
  <c r="B793" i="8"/>
  <c r="GX793" i="8"/>
  <c r="DF793" i="8"/>
  <c r="AL792" i="8"/>
  <c r="AU789" i="8" s="1"/>
  <c r="HJ792" i="8"/>
  <c r="HS789" i="8" s="1"/>
  <c r="CT792" i="8"/>
  <c r="DC789" i="8" s="1"/>
  <c r="FZ792" i="8"/>
  <c r="GI789" i="8" s="1"/>
  <c r="CH793" i="8"/>
  <c r="CT793" i="8"/>
  <c r="AX792" i="8"/>
  <c r="BG789" i="8" s="1"/>
  <c r="FN792" i="8"/>
  <c r="FW789" i="8" s="1"/>
  <c r="DF792" i="8"/>
  <c r="DO789" i="8" s="1"/>
  <c r="HJ793" i="8"/>
  <c r="Z793" i="8"/>
  <c r="DR792" i="8"/>
  <c r="EA789" i="8" s="1"/>
  <c r="BJ793" i="8"/>
  <c r="FZ793" i="8"/>
  <c r="FB793" i="8"/>
  <c r="ED792" i="8"/>
  <c r="EM789" i="8" s="1"/>
  <c r="AX793" i="8"/>
  <c r="FN793" i="8"/>
  <c r="Z792" i="8"/>
  <c r="AI789" i="8" s="1"/>
  <c r="AL793" i="8"/>
  <c r="DR793" i="8"/>
  <c r="N793" i="8"/>
  <c r="BJ792" i="8"/>
  <c r="BS789" i="8" s="1"/>
  <c r="BV792" i="8"/>
  <c r="CE789" i="8" s="1"/>
  <c r="FB792" i="8"/>
  <c r="FK789" i="8" s="1"/>
  <c r="HV792" i="8"/>
  <c r="IE789" i="8" s="1"/>
  <c r="HV793" i="8"/>
  <c r="GL793" i="8"/>
  <c r="EG792" i="8"/>
  <c r="EG794" i="8" s="1"/>
  <c r="HM792" i="8"/>
  <c r="HM794" i="8" s="1"/>
  <c r="AO792" i="8"/>
  <c r="AO794" i="8" s="1"/>
  <c r="HA792" i="8"/>
  <c r="HA794" i="8" s="1"/>
  <c r="CW792" i="8"/>
  <c r="CW794" i="8" s="1"/>
  <c r="CK792" i="8"/>
  <c r="CK794" i="8" s="1"/>
  <c r="Q792" i="8"/>
  <c r="Q794" i="8" s="1"/>
  <c r="HY792" i="8"/>
  <c r="HY794" i="8" s="1"/>
  <c r="BM792" i="8"/>
  <c r="BM794" i="8" s="1"/>
  <c r="DU792" i="8"/>
  <c r="DU794" i="8" s="1"/>
  <c r="DI792" i="8"/>
  <c r="DI794" i="8" s="1"/>
  <c r="E792" i="8"/>
  <c r="E794" i="8" s="1"/>
  <c r="ES792" i="8"/>
  <c r="ES794" i="8" s="1"/>
  <c r="BY792" i="8"/>
  <c r="BY794" i="8" s="1"/>
  <c r="FQ792" i="8"/>
  <c r="FQ794" i="8" s="1"/>
  <c r="GC792" i="8"/>
  <c r="GC794" i="8" s="1"/>
  <c r="FE792" i="8"/>
  <c r="FE794" i="8" s="1"/>
  <c r="GO792" i="8"/>
  <c r="GO794" i="8" s="1"/>
  <c r="AC792" i="8"/>
  <c r="AC794" i="8" s="1"/>
  <c r="BA792" i="8"/>
  <c r="BA794" i="8" s="1"/>
  <c r="ED793" i="8"/>
  <c r="BV793" i="8"/>
  <c r="N792" i="8"/>
  <c r="W789" i="8" s="1"/>
  <c r="BM797" i="8"/>
  <c r="E796" i="8"/>
  <c r="BA796" i="8"/>
  <c r="FE796" i="8"/>
  <c r="IA793" i="8"/>
  <c r="EL795" i="8"/>
  <c r="BM796" i="8"/>
  <c r="G794" i="8"/>
  <c r="DW793" i="8"/>
  <c r="AE793" i="8"/>
  <c r="BO793" i="8"/>
  <c r="FS793" i="8"/>
  <c r="ES797" i="8"/>
  <c r="S793" i="8"/>
  <c r="DK793" i="8"/>
  <c r="GC797" i="8"/>
  <c r="BC794" i="8"/>
  <c r="HM796" i="8"/>
  <c r="EG797" i="8"/>
  <c r="GQ794" i="8"/>
  <c r="HO794" i="8"/>
  <c r="GT795" i="8"/>
  <c r="CW797" i="8"/>
  <c r="CW796" i="8"/>
  <c r="HA796" i="8"/>
  <c r="DB795" i="8"/>
  <c r="CD794" i="8"/>
  <c r="CM794" i="8"/>
  <c r="AQ793" i="8"/>
  <c r="V794" i="8"/>
  <c r="GC796" i="8"/>
  <c r="ES796" i="8"/>
  <c r="CK796" i="8"/>
  <c r="FQ797" i="8"/>
  <c r="EG796" i="8"/>
  <c r="GH794" i="8"/>
  <c r="BR794" i="8"/>
  <c r="FE797" i="8"/>
  <c r="E797" i="8"/>
  <c r="HA797" i="8"/>
  <c r="HM797" i="8"/>
  <c r="CY794" i="8"/>
  <c r="BY797" i="8"/>
  <c r="GE793" i="8"/>
  <c r="BY796" i="8"/>
  <c r="EX794" i="8"/>
  <c r="ID794" i="8"/>
  <c r="HR795" i="8"/>
  <c r="DZ794" i="8"/>
  <c r="EI794" i="8"/>
  <c r="HF795" i="8"/>
  <c r="FV794" i="8"/>
  <c r="CP795" i="8"/>
  <c r="CK797" i="8"/>
  <c r="AH794" i="8"/>
  <c r="BA797" i="8"/>
  <c r="FJ794" i="8"/>
  <c r="BF795" i="8"/>
  <c r="EU793" i="8"/>
  <c r="FQ796" i="8"/>
  <c r="HC794" i="8"/>
  <c r="FG793" i="8"/>
  <c r="J795" i="8"/>
  <c r="DN794" i="8"/>
  <c r="CA793" i="8"/>
  <c r="AT794" i="8"/>
  <c r="L20" i="32" l="1"/>
  <c r="L3" i="32"/>
  <c r="L17" i="32"/>
  <c r="L8" i="32"/>
  <c r="L9" i="32"/>
  <c r="L7" i="32"/>
  <c r="L11" i="32"/>
  <c r="L2" i="32"/>
  <c r="L6" i="32"/>
  <c r="L18" i="32"/>
  <c r="L15" i="32"/>
  <c r="L4" i="32"/>
  <c r="L21" i="32"/>
  <c r="L13" i="32"/>
  <c r="L16" i="32"/>
  <c r="L12" i="32"/>
  <c r="L5" i="32"/>
  <c r="L14" i="32"/>
  <c r="L10" i="32"/>
  <c r="L19" i="32"/>
  <c r="AQ794" i="8"/>
  <c r="FG794" i="8"/>
  <c r="AH795" i="8"/>
  <c r="DW794" i="8"/>
  <c r="CM795" i="8"/>
  <c r="FV795" i="8"/>
  <c r="FJ795" i="8"/>
  <c r="DB796" i="8"/>
  <c r="AE794" i="8"/>
  <c r="EL796" i="8"/>
  <c r="EX795" i="8"/>
  <c r="BO794" i="8"/>
  <c r="HC795" i="8"/>
  <c r="HO795" i="8"/>
  <c r="FS794" i="8"/>
  <c r="BC795" i="8"/>
  <c r="GH795" i="8"/>
  <c r="G795" i="8"/>
  <c r="DK794" i="8"/>
  <c r="BF796" i="8"/>
  <c r="J796" i="8"/>
  <c r="S794" i="8"/>
  <c r="CA794" i="8"/>
  <c r="GQ795" i="8"/>
  <c r="CY795" i="8"/>
  <c r="DZ795" i="8"/>
  <c r="GT796" i="8"/>
  <c r="HR796" i="8"/>
  <c r="EU794" i="8"/>
  <c r="GE794" i="8"/>
  <c r="ID795" i="8"/>
  <c r="AT795" i="8"/>
  <c r="HF796" i="8"/>
  <c r="CD795" i="8"/>
  <c r="BR795" i="8"/>
  <c r="V795" i="8"/>
  <c r="DN795" i="8"/>
  <c r="EI795" i="8"/>
  <c r="CP796" i="8"/>
  <c r="IA794" i="8"/>
  <c r="BO795" i="8" l="1"/>
  <c r="EI796" i="8"/>
  <c r="ID796" i="8"/>
  <c r="CY796" i="8"/>
  <c r="S795" i="8"/>
  <c r="AT796" i="8"/>
  <c r="V796" i="8"/>
  <c r="G796" i="8"/>
  <c r="GH796" i="8"/>
  <c r="AH796" i="8"/>
  <c r="BC796" i="8"/>
  <c r="DN796" i="8"/>
  <c r="AE795" i="8"/>
  <c r="FS795" i="8"/>
  <c r="EU795" i="8"/>
  <c r="FG795" i="8"/>
  <c r="BR796" i="8"/>
  <c r="CD796" i="8"/>
  <c r="FV796" i="8"/>
  <c r="CM796" i="8"/>
  <c r="DK795" i="8"/>
  <c r="DZ796" i="8"/>
  <c r="HO796" i="8"/>
  <c r="IA795" i="8"/>
  <c r="CA795" i="8"/>
  <c r="FJ796" i="8"/>
  <c r="GQ796" i="8"/>
  <c r="EX796" i="8"/>
  <c r="GE795" i="8"/>
  <c r="DW795" i="8"/>
  <c r="AQ795" i="8"/>
  <c r="HC796" i="8"/>
  <c r="HA795" i="8" l="1"/>
  <c r="GO795" i="8"/>
  <c r="HM795" i="8"/>
  <c r="CK795" i="8"/>
  <c r="BA795" i="8"/>
  <c r="E795" i="8"/>
  <c r="CW795" i="8"/>
  <c r="EG795" i="8"/>
  <c r="S796" i="8"/>
  <c r="AQ796" i="8"/>
  <c r="EU796" i="8"/>
  <c r="IA796" i="8"/>
  <c r="FG796" i="8"/>
  <c r="DW796" i="8"/>
  <c r="FS796" i="8"/>
  <c r="CA796" i="8"/>
  <c r="BO796" i="8"/>
  <c r="DK796" i="8"/>
  <c r="AE796" i="8"/>
  <c r="GE796" i="8"/>
  <c r="GC795" i="8" l="1"/>
  <c r="AC795" i="8"/>
  <c r="DI795" i="8"/>
  <c r="BM795" i="8"/>
  <c r="BY795" i="8"/>
  <c r="FQ795" i="8"/>
  <c r="DU795" i="8"/>
  <c r="FE795" i="8"/>
  <c r="HY795" i="8"/>
  <c r="ES795" i="8"/>
  <c r="AO795" i="8"/>
  <c r="Q795" i="8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10485F2-A924-4A29-B6DE-6DA6AF2B02CA}" keepAlive="1" name="Query - fixtures" type="5" refreshedVersion="8" deleted="1" saveData="1">
    <dbPr connection="" command=""/>
  </connection>
</connection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40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  <bk>
      <extLst>
        <ext uri="{3e2802c4-a4d2-4d8b-9148-e3be6c30e623}">
          <xlrd:rvb i="19"/>
        </ext>
      </extLst>
    </bk>
    <bk>
      <extLst>
        <ext uri="{3e2802c4-a4d2-4d8b-9148-e3be6c30e623}">
          <xlrd:rvb i="20"/>
        </ext>
      </extLst>
    </bk>
    <bk>
      <extLst>
        <ext uri="{3e2802c4-a4d2-4d8b-9148-e3be6c30e623}">
          <xlrd:rvb i="21"/>
        </ext>
      </extLst>
    </bk>
    <bk>
      <extLst>
        <ext uri="{3e2802c4-a4d2-4d8b-9148-e3be6c30e623}">
          <xlrd:rvb i="22"/>
        </ext>
      </extLst>
    </bk>
    <bk>
      <extLst>
        <ext uri="{3e2802c4-a4d2-4d8b-9148-e3be6c30e623}">
          <xlrd:rvb i="23"/>
        </ext>
      </extLst>
    </bk>
    <bk>
      <extLst>
        <ext uri="{3e2802c4-a4d2-4d8b-9148-e3be6c30e623}">
          <xlrd:rvb i="24"/>
        </ext>
      </extLst>
    </bk>
    <bk>
      <extLst>
        <ext uri="{3e2802c4-a4d2-4d8b-9148-e3be6c30e623}">
          <xlrd:rvb i="25"/>
        </ext>
      </extLst>
    </bk>
    <bk>
      <extLst>
        <ext uri="{3e2802c4-a4d2-4d8b-9148-e3be6c30e623}">
          <xlrd:rvb i="26"/>
        </ext>
      </extLst>
    </bk>
    <bk>
      <extLst>
        <ext uri="{3e2802c4-a4d2-4d8b-9148-e3be6c30e623}">
          <xlrd:rvb i="27"/>
        </ext>
      </extLst>
    </bk>
    <bk>
      <extLst>
        <ext uri="{3e2802c4-a4d2-4d8b-9148-e3be6c30e623}">
          <xlrd:rvb i="28"/>
        </ext>
      </extLst>
    </bk>
    <bk>
      <extLst>
        <ext uri="{3e2802c4-a4d2-4d8b-9148-e3be6c30e623}">
          <xlrd:rvb i="29"/>
        </ext>
      </extLst>
    </bk>
    <bk>
      <extLst>
        <ext uri="{3e2802c4-a4d2-4d8b-9148-e3be6c30e623}">
          <xlrd:rvb i="30"/>
        </ext>
      </extLst>
    </bk>
    <bk>
      <extLst>
        <ext uri="{3e2802c4-a4d2-4d8b-9148-e3be6c30e623}">
          <xlrd:rvb i="31"/>
        </ext>
      </extLst>
    </bk>
    <bk>
      <extLst>
        <ext uri="{3e2802c4-a4d2-4d8b-9148-e3be6c30e623}">
          <xlrd:rvb i="32"/>
        </ext>
      </extLst>
    </bk>
    <bk>
      <extLst>
        <ext uri="{3e2802c4-a4d2-4d8b-9148-e3be6c30e623}">
          <xlrd:rvb i="33"/>
        </ext>
      </extLst>
    </bk>
    <bk>
      <extLst>
        <ext uri="{3e2802c4-a4d2-4d8b-9148-e3be6c30e623}">
          <xlrd:rvb i="34"/>
        </ext>
      </extLst>
    </bk>
    <bk>
      <extLst>
        <ext uri="{3e2802c4-a4d2-4d8b-9148-e3be6c30e623}">
          <xlrd:rvb i="35"/>
        </ext>
      </extLst>
    </bk>
    <bk>
      <extLst>
        <ext uri="{3e2802c4-a4d2-4d8b-9148-e3be6c30e623}">
          <xlrd:rvb i="36"/>
        </ext>
      </extLst>
    </bk>
    <bk>
      <extLst>
        <ext uri="{3e2802c4-a4d2-4d8b-9148-e3be6c30e623}">
          <xlrd:rvb i="37"/>
        </ext>
      </extLst>
    </bk>
    <bk>
      <extLst>
        <ext uri="{3e2802c4-a4d2-4d8b-9148-e3be6c30e623}">
          <xlrd:rvb i="38"/>
        </ext>
      </extLst>
    </bk>
    <bk>
      <extLst>
        <ext uri="{3e2802c4-a4d2-4d8b-9148-e3be6c30e623}">
          <xlrd:rvb i="39"/>
        </ext>
      </extLst>
    </bk>
  </futureMetadata>
  <valueMetadata count="40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  <bk>
      <rc t="1" v="38"/>
    </bk>
    <bk>
      <rc t="1" v="39"/>
    </bk>
  </valueMetadata>
</metadata>
</file>

<file path=xl/sharedStrings.xml><?xml version="1.0" encoding="utf-8"?>
<sst xmlns="http://schemas.openxmlformats.org/spreadsheetml/2006/main" count="9432" uniqueCount="624">
  <si>
    <t>G</t>
  </si>
  <si>
    <t>Arsenal</t>
  </si>
  <si>
    <t>Aston Villa</t>
  </si>
  <si>
    <t>Bournemouth</t>
  </si>
  <si>
    <t>Brighton</t>
  </si>
  <si>
    <t>Burnley</t>
  </si>
  <si>
    <t>Chelsea</t>
  </si>
  <si>
    <t>Crystal Palace</t>
  </si>
  <si>
    <t>Everton</t>
  </si>
  <si>
    <t>Liverpool</t>
  </si>
  <si>
    <t>Man City</t>
  </si>
  <si>
    <t>Man Utd</t>
  </si>
  <si>
    <t>Newcastle</t>
  </si>
  <si>
    <t>Spurs</t>
  </si>
  <si>
    <t>West Ham</t>
  </si>
  <si>
    <t>Wolves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</si>
  <si>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</si>
  <si>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</si>
  <si>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</si>
  <si>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</si>
  <si>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</si>
  <si>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</si>
  <si>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</si>
  <si>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</si>
  <si>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</si>
  <si>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</si>
  <si>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Fixture</t>
  </si>
  <si>
    <t>Stadium</t>
  </si>
  <si>
    <t>Home Team</t>
  </si>
  <si>
    <t>Home Goal</t>
  </si>
  <si>
    <t>Away Goal</t>
  </si>
  <si>
    <t>Away Team</t>
  </si>
  <si>
    <t>Last Update Time</t>
  </si>
  <si>
    <t>Stage</t>
  </si>
  <si>
    <t>Status</t>
  </si>
  <si>
    <t>Projected Home Goal</t>
  </si>
  <si>
    <t>Projected Away Goal</t>
  </si>
  <si>
    <t>Win %</t>
  </si>
  <si>
    <t>Draw %</t>
  </si>
  <si>
    <t>Loss %</t>
  </si>
  <si>
    <t>Anfield</t>
  </si>
  <si>
    <t>REGULAR_SEASON</t>
  </si>
  <si>
    <t>London Stadium</t>
  </si>
  <si>
    <t>Vitality Stadium</t>
  </si>
  <si>
    <t>Selhurst Park</t>
  </si>
  <si>
    <t>Tottenham Hotspur Stadium</t>
  </si>
  <si>
    <t>St. James' Park</t>
  </si>
  <si>
    <t>Old Trafford</t>
  </si>
  <si>
    <t>Emirates Stadium</t>
  </si>
  <si>
    <t>Villa Park</t>
  </si>
  <si>
    <t>Etihad Stadium</t>
  </si>
  <si>
    <t>Stamford Bridge</t>
  </si>
  <si>
    <t>Molineux Stadium</t>
  </si>
  <si>
    <t>Match Day 1</t>
  </si>
  <si>
    <t>Match Day 2</t>
  </si>
  <si>
    <t>Match Day 3</t>
  </si>
  <si>
    <t>Match Day 4</t>
  </si>
  <si>
    <t>Match Day 5</t>
  </si>
  <si>
    <t>Match Day 6</t>
  </si>
  <si>
    <t>Match Day 8</t>
  </si>
  <si>
    <t>Match Day 9</t>
  </si>
  <si>
    <t>Match Day 10</t>
  </si>
  <si>
    <t>Match Day 11</t>
  </si>
  <si>
    <t>Match Day 12</t>
  </si>
  <si>
    <t>Match Day 13</t>
  </si>
  <si>
    <t>Match Day 14</t>
  </si>
  <si>
    <t>Match Day 15</t>
  </si>
  <si>
    <t>Match Day 16</t>
  </si>
  <si>
    <t>Match Day 17</t>
  </si>
  <si>
    <t>Match Day 18</t>
  </si>
  <si>
    <t>Match Day 19</t>
  </si>
  <si>
    <t>Match Day 20</t>
  </si>
  <si>
    <t>Match Day 21</t>
  </si>
  <si>
    <t>Match Day 22</t>
  </si>
  <si>
    <t>Match Day 23</t>
  </si>
  <si>
    <t>Match Day 24</t>
  </si>
  <si>
    <t>Match Day 25</t>
  </si>
  <si>
    <t>Match Day 26</t>
  </si>
  <si>
    <t>Match Day 27</t>
  </si>
  <si>
    <t>Match Day 28</t>
  </si>
  <si>
    <t>Match Day 29</t>
  </si>
  <si>
    <t>Match Day 30</t>
  </si>
  <si>
    <t>Match Day 31</t>
  </si>
  <si>
    <t>Match Day 32</t>
  </si>
  <si>
    <t>Match Day 33</t>
  </si>
  <si>
    <t>Match Day 34</t>
  </si>
  <si>
    <t>Match Day 35</t>
  </si>
  <si>
    <t>Match Day 36</t>
  </si>
  <si>
    <t>Match Day 37</t>
  </si>
  <si>
    <t>Match Day 38</t>
  </si>
  <si>
    <t>Time Zone</t>
  </si>
  <si>
    <t>Match Day</t>
  </si>
  <si>
    <t>A</t>
  </si>
  <si>
    <t>H</t>
  </si>
  <si>
    <t>Rank</t>
  </si>
  <si>
    <t>Team</t>
  </si>
  <si>
    <t>MP</t>
  </si>
  <si>
    <t>Won</t>
  </si>
  <si>
    <t>Drawn</t>
  </si>
  <si>
    <t>Lost</t>
  </si>
  <si>
    <t>GF</t>
  </si>
  <si>
    <t>GA</t>
  </si>
  <si>
    <t>GD</t>
  </si>
  <si>
    <t>Points</t>
  </si>
  <si>
    <t>Form</t>
  </si>
  <si>
    <t>Next Game</t>
  </si>
  <si>
    <t xml:space="preserve">    </t>
  </si>
  <si>
    <t>Brentford</t>
  </si>
  <si>
    <t>Fulham</t>
  </si>
  <si>
    <t>Fixture Time Updated on:</t>
  </si>
  <si>
    <t>Fri</t>
  </si>
  <si>
    <t>Brentford vs Arsenal</t>
  </si>
  <si>
    <t>Chelsea vs Crystal Palace</t>
  </si>
  <si>
    <t>Crystal Palace vs Brentford</t>
  </si>
  <si>
    <t>Arsenal vs Chelsea</t>
  </si>
  <si>
    <t>Aston Villa vs Brentford</t>
  </si>
  <si>
    <t>Liverpool vs Chelsea</t>
  </si>
  <si>
    <t>Chelsea vs Aston Villa</t>
  </si>
  <si>
    <t>Aston Villa vs Everton</t>
  </si>
  <si>
    <t>Liverpool vs Crystal Palace</t>
  </si>
  <si>
    <t>Brentford vs Liverpool</t>
  </si>
  <si>
    <t>Arsenal vs Crystal Palace</t>
  </si>
  <si>
    <t>Brentford vs Chelsea</t>
  </si>
  <si>
    <t>Arsenal vs Aston Villa</t>
  </si>
  <si>
    <t>Liverpool vs Arsenal</t>
  </si>
  <si>
    <t>Brentford vs Everton</t>
  </si>
  <si>
    <t>Crystal Palace vs Aston Villa</t>
  </si>
  <si>
    <t>Everton vs Liverpool</t>
  </si>
  <si>
    <t>Everton vs Arsenal</t>
  </si>
  <si>
    <t>Crystal Palace vs Everton</t>
  </si>
  <si>
    <t>Liverpool vs Aston Villa</t>
  </si>
  <si>
    <t>Chelsea vs Everton</t>
  </si>
  <si>
    <t>Aston Villa vs Chelsea</t>
  </si>
  <si>
    <t>Brentford vs Aston Villa</t>
  </si>
  <si>
    <t>Chelsea vs Liverpool</t>
  </si>
  <si>
    <t>Liverpool vs Brentford</t>
  </si>
  <si>
    <t>Crystal Palace vs Liverpool</t>
  </si>
  <si>
    <t>Everton vs Aston Villa</t>
  </si>
  <si>
    <t>Brentford vs Crystal Palace</t>
  </si>
  <si>
    <t>Chelsea vs Arsenal</t>
  </si>
  <si>
    <t>Arsenal vs Brentford</t>
  </si>
  <si>
    <t>Crystal Palace vs Chelsea</t>
  </si>
  <si>
    <t>Arsenal vs Liverpool</t>
  </si>
  <si>
    <t>Aston Villa vs Arsenal</t>
  </si>
  <si>
    <t>Chelsea vs Brentford</t>
  </si>
  <si>
    <t>Crystal Palace vs Arsenal</t>
  </si>
  <si>
    <t>Aston Villa vs Liverpool</t>
  </si>
  <si>
    <t>Everton vs Crystal Palace</t>
  </si>
  <si>
    <t>Liverpool vs Everton</t>
  </si>
  <si>
    <t>Everton vs Chelsea</t>
  </si>
  <si>
    <t>Aston Villa vs Crystal Palace</t>
  </si>
  <si>
    <t>Everton vs Brentford</t>
  </si>
  <si>
    <t>Arsenal vs Everton</t>
  </si>
  <si>
    <t>Useful links:</t>
  </si>
  <si>
    <t>https://www.excel4soccer.com/</t>
  </si>
  <si>
    <t>Penalty Points Imposed by League</t>
  </si>
  <si>
    <t>Fulham vs Liverpool</t>
  </si>
  <si>
    <t>Craven Cottage</t>
  </si>
  <si>
    <t>The City Ground</t>
  </si>
  <si>
    <t>Fulham vs Brentford</t>
  </si>
  <si>
    <t>Arsenal vs Fulham</t>
  </si>
  <si>
    <t>Fulham vs Chelsea</t>
  </si>
  <si>
    <t>Fulham vs Aston Villa</t>
  </si>
  <si>
    <t>Fulham vs Everton</t>
  </si>
  <si>
    <t>Crystal Palace vs Fulham</t>
  </si>
  <si>
    <t>Chelsea vs Fulham</t>
  </si>
  <si>
    <t>Brentford vs Fulham</t>
  </si>
  <si>
    <t>Fulham vs Arsenal</t>
  </si>
  <si>
    <t>Liverpool vs Fulham</t>
  </si>
  <si>
    <t>Everton vs Fulham</t>
  </si>
  <si>
    <t>Aston Villa vs Fulham</t>
  </si>
  <si>
    <t>Fulham vs Crystal Palace</t>
  </si>
  <si>
    <t>Gtech Community Stadium</t>
  </si>
  <si>
    <t>W</t>
  </si>
  <si>
    <t>L</t>
  </si>
  <si>
    <t>D</t>
  </si>
  <si>
    <t>Next</t>
  </si>
  <si>
    <t>Pts</t>
  </si>
  <si>
    <t>H/A</t>
  </si>
  <si>
    <t>Compsite</t>
  </si>
  <si>
    <t>Fixture Time Updated On:</t>
  </si>
  <si>
    <t>Order</t>
  </si>
  <si>
    <t>BLK</t>
  </si>
  <si>
    <t>In case penalty points are imposed on to a certain club, enter the penalty points in the "Deduction" tab.</t>
  </si>
  <si>
    <t>Match Day 7</t>
  </si>
  <si>
    <t>C</t>
  </si>
  <si>
    <t>F</t>
  </si>
  <si>
    <t>E</t>
  </si>
  <si>
    <t>Nott'm Forest</t>
  </si>
  <si>
    <t>Match Time(New York)</t>
  </si>
  <si>
    <t>Match Time(London)</t>
  </si>
  <si>
    <t>Match Time(Moscow)</t>
  </si>
  <si>
    <t>Match Time(Dubai)</t>
  </si>
  <si>
    <t>Match Time(Shanghai)</t>
  </si>
  <si>
    <t>New York</t>
  </si>
  <si>
    <t>London</t>
  </si>
  <si>
    <t>Chicago</t>
  </si>
  <si>
    <t>Albuquerque</t>
  </si>
  <si>
    <t>Paris</t>
  </si>
  <si>
    <t>Bucharest</t>
  </si>
  <si>
    <t>Moscow</t>
  </si>
  <si>
    <t>Dubai</t>
  </si>
  <si>
    <t>Shanghai</t>
  </si>
  <si>
    <t>Match Date (UTC)</t>
  </si>
  <si>
    <t>Match Time(Chicago)</t>
  </si>
  <si>
    <t>Match Time(Albuqerque)</t>
  </si>
  <si>
    <t>Match Time(San Francisco)</t>
  </si>
  <si>
    <t>League</t>
  </si>
  <si>
    <t>Season</t>
  </si>
  <si>
    <t>Number of Clubs</t>
  </si>
  <si>
    <t>Start Date</t>
  </si>
  <si>
    <t>End Date</t>
  </si>
  <si>
    <t>Premier League</t>
  </si>
  <si>
    <t>Relagation</t>
  </si>
  <si>
    <t>UEFA Champions League Group Stage</t>
  </si>
  <si>
    <t>UEFA Europa League Group Stage</t>
  </si>
  <si>
    <t>GF1</t>
  </si>
  <si>
    <t>American Express Stadium</t>
  </si>
  <si>
    <t>Sat</t>
  </si>
  <si>
    <t>Man Utd vs Fulham</t>
  </si>
  <si>
    <t>Arsenal vs Wolves</t>
  </si>
  <si>
    <t>Everton vs Brighton</t>
  </si>
  <si>
    <t>Nott'm Forest vs Bournemouth</t>
  </si>
  <si>
    <t>West Ham vs Aston Villa</t>
  </si>
  <si>
    <t>Chelsea vs Man City</t>
  </si>
  <si>
    <t>Brighton vs Man Utd</t>
  </si>
  <si>
    <t>Crystal Palace vs West Ham</t>
  </si>
  <si>
    <t>Spurs vs Everton</t>
  </si>
  <si>
    <t>Bournemouth vs Newcastle</t>
  </si>
  <si>
    <t>Wolves vs Chelsea</t>
  </si>
  <si>
    <t>Arsenal vs Brighton</t>
  </si>
  <si>
    <t>Everton vs Bournemouth</t>
  </si>
  <si>
    <t>Nott'm Forest vs Wolves</t>
  </si>
  <si>
    <t>West Ham vs Man City</t>
  </si>
  <si>
    <t>Newcastle vs Spurs</t>
  </si>
  <si>
    <t>Man Utd vs Liverpool</t>
  </si>
  <si>
    <t>Fulham vs West Ham</t>
  </si>
  <si>
    <t>Liverpool vs Nott'm Forest</t>
  </si>
  <si>
    <t>Man City vs Brentford</t>
  </si>
  <si>
    <t>Bournemouth vs Chelsea</t>
  </si>
  <si>
    <t>Spurs vs Arsenal</t>
  </si>
  <si>
    <t>Wolves vs Newcastle</t>
  </si>
  <si>
    <t>West Ham vs Chelsea</t>
  </si>
  <si>
    <t>Aston Villa vs Wolves</t>
  </si>
  <si>
    <t>Fulham vs Newcastle</t>
  </si>
  <si>
    <t>Liverpool vs Bournemouth</t>
  </si>
  <si>
    <t>Spurs vs Brentford</t>
  </si>
  <si>
    <t>Crystal Palace vs Man Utd</t>
  </si>
  <si>
    <t>Brighton vs Nott'm Forest</t>
  </si>
  <si>
    <t>Man City vs Arsenal</t>
  </si>
  <si>
    <t>Newcastle vs Man City</t>
  </si>
  <si>
    <t>Brentford vs West Ham</t>
  </si>
  <si>
    <t>Chelsea vs Brighton</t>
  </si>
  <si>
    <t>Nott'm Forest vs Fulham</t>
  </si>
  <si>
    <t>Wolves vs Liverpool</t>
  </si>
  <si>
    <t>Man Utd vs Spurs</t>
  </si>
  <si>
    <t>Brentford vs Wolves</t>
  </si>
  <si>
    <t>Man City vs Fulham</t>
  </si>
  <si>
    <t>Everton vs Newcastle</t>
  </si>
  <si>
    <t>Aston Villa vs Man Utd</t>
  </si>
  <si>
    <t>Chelsea vs Nott'm Forest</t>
  </si>
  <si>
    <t>Brighton vs Spurs</t>
  </si>
  <si>
    <t>Spurs vs West Ham</t>
  </si>
  <si>
    <t>Man Utd vs Brentford</t>
  </si>
  <si>
    <t>Newcastle vs Brighton</t>
  </si>
  <si>
    <t>Bournemouth vs Arsenal</t>
  </si>
  <si>
    <t>Wolves vs Man City</t>
  </si>
  <si>
    <t>Nott'm Forest vs Crystal Palace</t>
  </si>
  <si>
    <t>Aston Villa vs Bournemouth</t>
  </si>
  <si>
    <t>Brighton vs Wolves</t>
  </si>
  <si>
    <t>Chelsea vs Newcastle</t>
  </si>
  <si>
    <t>Crystal Palace vs Spurs</t>
  </si>
  <si>
    <t>West Ham vs Man Utd</t>
  </si>
  <si>
    <t>Newcastle vs Arsenal</t>
  </si>
  <si>
    <t>Bournemouth vs Man City</t>
  </si>
  <si>
    <t>Liverpool vs Brighton</t>
  </si>
  <si>
    <t>Nott'm Forest vs West Ham</t>
  </si>
  <si>
    <t>Wolves vs Crystal Palace</t>
  </si>
  <si>
    <t>Spurs vs Aston Villa</t>
  </si>
  <si>
    <t>Man Utd vs Chelsea</t>
  </si>
  <si>
    <t>Brentford vs Bournemouth</t>
  </si>
  <si>
    <t>West Ham vs Everton</t>
  </si>
  <si>
    <t>Brighton vs Man City</t>
  </si>
  <si>
    <t>Nott'm Forest vs Newcastle</t>
  </si>
  <si>
    <t>Arsenal vs Nott'm Forest</t>
  </si>
  <si>
    <t>Bournemouth vs Brighton</t>
  </si>
  <si>
    <t>Fulham vs Wolves</t>
  </si>
  <si>
    <t>Man City vs Spurs</t>
  </si>
  <si>
    <t>Newcastle vs West Ham</t>
  </si>
  <si>
    <t>Crystal Palace vs Newcastle</t>
  </si>
  <si>
    <t>Wolves vs Bournemouth</t>
  </si>
  <si>
    <t>West Ham vs Arsenal</t>
  </si>
  <si>
    <t>Man Utd vs Everton</t>
  </si>
  <si>
    <t>Spurs vs Fulham</t>
  </si>
  <si>
    <t>Liverpool vs Man City</t>
  </si>
  <si>
    <t>Everton vs Wolves</t>
  </si>
  <si>
    <t>Man City vs Nott'm Forest</t>
  </si>
  <si>
    <t>Newcastle vs Liverpool</t>
  </si>
  <si>
    <t>Arsenal vs Man Utd</t>
  </si>
  <si>
    <t>Fulham vs Brighton</t>
  </si>
  <si>
    <t>Bournemouth vs Spurs</t>
  </si>
  <si>
    <t>Brentford vs Newcastle</t>
  </si>
  <si>
    <t>Crystal Palace vs Man City</t>
  </si>
  <si>
    <t>Man Utd vs Nott'm Forest</t>
  </si>
  <si>
    <t>Spurs vs Chelsea</t>
  </si>
  <si>
    <t>West Ham vs Wolves</t>
  </si>
  <si>
    <t>Nott'm Forest vs Aston Villa</t>
  </si>
  <si>
    <t>Brighton vs Crystal Palace</t>
  </si>
  <si>
    <t>Man City vs Man Utd</t>
  </si>
  <si>
    <t>Bournemouth vs West Ham</t>
  </si>
  <si>
    <t>Aston Villa vs Man City</t>
  </si>
  <si>
    <t>Brentford vs Nott'm Forest</t>
  </si>
  <si>
    <t>West Ham vs Brighton</t>
  </si>
  <si>
    <t>Man Utd vs Bournemouth</t>
  </si>
  <si>
    <t>Spurs vs Liverpool</t>
  </si>
  <si>
    <t>Man City vs Everton</t>
  </si>
  <si>
    <t>Bournemouth vs Crystal Palace</t>
  </si>
  <si>
    <t>Newcastle vs Aston Villa</t>
  </si>
  <si>
    <t>Nott'm Forest vs Spurs</t>
  </si>
  <si>
    <t>Wolves vs Man Utd</t>
  </si>
  <si>
    <t>Brighton vs Brentford</t>
  </si>
  <si>
    <t>Everton vs Nott'm Forest</t>
  </si>
  <si>
    <t>Fulham vs Bournemouth</t>
  </si>
  <si>
    <t>Spurs vs Wolves</t>
  </si>
  <si>
    <t>West Ham vs Liverpool</t>
  </si>
  <si>
    <t>Aston Villa vs Brighton</t>
  </si>
  <si>
    <t>Man Utd vs Newcastle</t>
  </si>
  <si>
    <t>Spurs vs Newcastle</t>
  </si>
  <si>
    <t>Bournemouth vs Everton</t>
  </si>
  <si>
    <t>Man City vs West Ham</t>
  </si>
  <si>
    <t>Brighton vs Arsenal</t>
  </si>
  <si>
    <t>Liverpool vs Man Utd</t>
  </si>
  <si>
    <t>Wolves vs Nott'm Forest</t>
  </si>
  <si>
    <t>Brentford vs Man City</t>
  </si>
  <si>
    <t>Chelsea vs Bournemouth</t>
  </si>
  <si>
    <t>West Ham vs Fulham</t>
  </si>
  <si>
    <t>Nott'm Forest vs Liverpool</t>
  </si>
  <si>
    <t>Newcastle vs Wolves</t>
  </si>
  <si>
    <t>Arsenal vs Spurs</t>
  </si>
  <si>
    <t>Newcastle vs Bournemouth</t>
  </si>
  <si>
    <t>West Ham vs Crystal Palace</t>
  </si>
  <si>
    <t>Everton vs Spurs</t>
  </si>
  <si>
    <t>Man Utd vs Brighton</t>
  </si>
  <si>
    <t>Chelsea vs Wolves</t>
  </si>
  <si>
    <t>Bournemouth vs Nott'm Forest</t>
  </si>
  <si>
    <t>Brighton vs Everton</t>
  </si>
  <si>
    <t>Wolves vs Arsenal</t>
  </si>
  <si>
    <t>Man City vs Chelsea</t>
  </si>
  <si>
    <t>Aston Villa vs West Ham</t>
  </si>
  <si>
    <t>Fulham vs Man Utd</t>
  </si>
  <si>
    <t>Arsenal vs Man City</t>
  </si>
  <si>
    <t>Bournemouth vs Liverpool</t>
  </si>
  <si>
    <t>Brentford vs Spurs</t>
  </si>
  <si>
    <t>Chelsea vs West Ham</t>
  </si>
  <si>
    <t>Man Utd vs Crystal Palace</t>
  </si>
  <si>
    <t>Newcastle vs Fulham</t>
  </si>
  <si>
    <t>Nott'm Forest vs Brighton</t>
  </si>
  <si>
    <t>Wolves vs Aston Villa</t>
  </si>
  <si>
    <t>Brighton vs Chelsea</t>
  </si>
  <si>
    <t>Fulham vs Nott'm Forest</t>
  </si>
  <si>
    <t>Liverpool vs Wolves</t>
  </si>
  <si>
    <t>Man City vs Newcastle</t>
  </si>
  <si>
    <t>Spurs vs Man Utd</t>
  </si>
  <si>
    <t>West Ham vs Brentford</t>
  </si>
  <si>
    <t>Arsenal vs West Ham</t>
  </si>
  <si>
    <t>Bournemouth vs Wolves</t>
  </si>
  <si>
    <t>Everton vs Man Utd</t>
  </si>
  <si>
    <t>Man City vs Liverpool</t>
  </si>
  <si>
    <t>Newcastle vs Nott'm Forest</t>
  </si>
  <si>
    <t>Brighton vs Bournemouth</t>
  </si>
  <si>
    <t>Nott'm Forest vs Arsenal</t>
  </si>
  <si>
    <t>Spurs vs Man City</t>
  </si>
  <si>
    <t>Wolves vs Fulham</t>
  </si>
  <si>
    <t>Liverpool vs Newcastle</t>
  </si>
  <si>
    <t>Brighton vs Fulham</t>
  </si>
  <si>
    <t>Man Utd vs Arsenal</t>
  </si>
  <si>
    <t>Nott'm Forest vs Man City</t>
  </si>
  <si>
    <t>Spurs vs Bournemouth</t>
  </si>
  <si>
    <t>West Ham vs Newcastle</t>
  </si>
  <si>
    <t>Wolves vs Everton</t>
  </si>
  <si>
    <t>Bournemouth vs Brentford</t>
  </si>
  <si>
    <t>Everton vs West Ham</t>
  </si>
  <si>
    <t>Fulham vs Spurs</t>
  </si>
  <si>
    <t>Man City vs Brighton</t>
  </si>
  <si>
    <t>Newcastle vs Crystal Palace</t>
  </si>
  <si>
    <t>Brighton vs Aston Villa</t>
  </si>
  <si>
    <t>Nott'm Forest vs Man Utd</t>
  </si>
  <si>
    <t>Wolves vs West Ham</t>
  </si>
  <si>
    <t>Chelsea vs Spurs</t>
  </si>
  <si>
    <t>Newcastle vs Brentford</t>
  </si>
  <si>
    <t>Aston Villa vs Nott'm Forest</t>
  </si>
  <si>
    <t>Crystal Palace vs Brighton</t>
  </si>
  <si>
    <t>Man Utd vs Man City</t>
  </si>
  <si>
    <t>West Ham vs Bournemouth</t>
  </si>
  <si>
    <t>Bournemouth vs Fulham</t>
  </si>
  <si>
    <t>Liverpool vs West Ham</t>
  </si>
  <si>
    <t>Man City vs Crystal Palace</t>
  </si>
  <si>
    <t>Newcastle vs Man Utd</t>
  </si>
  <si>
    <t>Nott'm Forest vs Everton</t>
  </si>
  <si>
    <t>Wolves vs Spurs</t>
  </si>
  <si>
    <t>Aston Villa vs Newcastle</t>
  </si>
  <si>
    <t>Brentford vs Brighton</t>
  </si>
  <si>
    <t>Crystal Palace vs Bournemouth</t>
  </si>
  <si>
    <t>Everton vs Man City</t>
  </si>
  <si>
    <t>Man Utd vs Wolves</t>
  </si>
  <si>
    <t>Spurs vs Nott'm Forest</t>
  </si>
  <si>
    <t>Bournemouth vs Man Utd</t>
  </si>
  <si>
    <t>Brighton vs West Ham</t>
  </si>
  <si>
    <t>Liverpool vs Spurs</t>
  </si>
  <si>
    <t>Man City vs Aston Villa</t>
  </si>
  <si>
    <t>Nott'm Forest vs Brentford</t>
  </si>
  <si>
    <t>Arsenal vs Bournemouth</t>
  </si>
  <si>
    <t>Brentford vs Man Utd</t>
  </si>
  <si>
    <t>Brighton vs Newcastle</t>
  </si>
  <si>
    <t>Crystal Palace vs Nott'm Forest</t>
  </si>
  <si>
    <t>Man City vs Wolves</t>
  </si>
  <si>
    <t>West Ham vs Spurs</t>
  </si>
  <si>
    <t>Bournemouth vs Aston Villa</t>
  </si>
  <si>
    <t>Man Utd vs West Ham</t>
  </si>
  <si>
    <t>Newcastle vs Chelsea</t>
  </si>
  <si>
    <t>Spurs vs Crystal Palace</t>
  </si>
  <si>
    <t>Wolves vs Brighton</t>
  </si>
  <si>
    <t>Arsenal vs Newcastle</t>
  </si>
  <si>
    <t>Aston Villa vs Spurs</t>
  </si>
  <si>
    <t>Brighton vs Liverpool</t>
  </si>
  <si>
    <t>Chelsea vs Man Utd</t>
  </si>
  <si>
    <t>Crystal Palace vs Wolves</t>
  </si>
  <si>
    <t>Man City vs Bournemouth</t>
  </si>
  <si>
    <t>West Ham vs Nott'm Forest</t>
  </si>
  <si>
    <t>Fulham vs Man City</t>
  </si>
  <si>
    <t>Man Utd vs Aston Villa</t>
  </si>
  <si>
    <t>Newcastle vs Everton</t>
  </si>
  <si>
    <t>Nott'm Forest vs Chelsea</t>
  </si>
  <si>
    <t>Spurs vs Brighton</t>
  </si>
  <si>
    <t>Wolves vs Brentford</t>
  </si>
  <si>
    <t>San Francisco</t>
  </si>
  <si>
    <t>Sun</t>
  </si>
  <si>
    <t>Mon</t>
  </si>
  <si>
    <t>Tue</t>
  </si>
  <si>
    <t>Wed</t>
  </si>
  <si>
    <t>Total Pts</t>
  </si>
  <si>
    <t>GF_A</t>
  </si>
  <si>
    <t>©2025 excel4soccer.com</t>
  </si>
  <si>
    <t>Sunderland</t>
  </si>
  <si>
    <t>Leeds Utd</t>
  </si>
  <si>
    <t>SCHEDULED</t>
  </si>
  <si>
    <t>Spurs vs Burnley</t>
  </si>
  <si>
    <t>Sunderland vs West Ham</t>
  </si>
  <si>
    <t>Stadium of Light</t>
  </si>
  <si>
    <t>Elland Road</t>
  </si>
  <si>
    <t>Burnley vs Sunderland</t>
  </si>
  <si>
    <t>Turf Moor</t>
  </si>
  <si>
    <t>Hill Dickinson Stadium</t>
  </si>
  <si>
    <t>Man Utd vs Burnley</t>
  </si>
  <si>
    <t>Sunderland vs Brentford</t>
  </si>
  <si>
    <t>Burnley vs Liverpool</t>
  </si>
  <si>
    <t>Crystal Palace vs Sunderland</t>
  </si>
  <si>
    <t>Burnley vs Nott'm Forest</t>
  </si>
  <si>
    <t>Sunderland vs Aston Villa</t>
  </si>
  <si>
    <t>Man City vs Burnley</t>
  </si>
  <si>
    <t>Nott'm Forest vs Sunderland</t>
  </si>
  <si>
    <t>Aston Villa vs Burnley</t>
  </si>
  <si>
    <t>Man Utd vs Sunderland</t>
  </si>
  <si>
    <t>Sunderland vs Wolves</t>
  </si>
  <si>
    <t>Chelsea vs Sunderland</t>
  </si>
  <si>
    <t>Wolves vs Burnley</t>
  </si>
  <si>
    <t>Burnley vs Arsenal</t>
  </si>
  <si>
    <t>Sunderland vs Everton</t>
  </si>
  <si>
    <t>Sunderland vs Arsenal</t>
  </si>
  <si>
    <t>West Ham vs Burnley</t>
  </si>
  <si>
    <t>Burnley vs Chelsea</t>
  </si>
  <si>
    <t>Fulham vs Sunderland</t>
  </si>
  <si>
    <t>Brentford vs Burnley</t>
  </si>
  <si>
    <t>Sunderland vs Bournemouth</t>
  </si>
  <si>
    <t>Burnley vs Crystal Palace</t>
  </si>
  <si>
    <t>Liverpool vs Sunderland</t>
  </si>
  <si>
    <t>Man City vs Sunderland</t>
  </si>
  <si>
    <t>Newcastle vs Burnley</t>
  </si>
  <si>
    <t>Burnley vs Fulham</t>
  </si>
  <si>
    <t>Sunderland vs Newcastle</t>
  </si>
  <si>
    <t>Bournemouth vs Burnley</t>
  </si>
  <si>
    <t>Brighton vs Sunderland</t>
  </si>
  <si>
    <t>Burnley vs Everton</t>
  </si>
  <si>
    <t>Burnley vs Newcastle</t>
  </si>
  <si>
    <t>Sunderland vs Man City</t>
  </si>
  <si>
    <t>Brighton vs Burnley</t>
  </si>
  <si>
    <t>Spurs vs Sunderland</t>
  </si>
  <si>
    <t>Liverpool vs Burnley</t>
  </si>
  <si>
    <t>Sunderland vs Crystal Palace</t>
  </si>
  <si>
    <t>Burnley vs Spurs</t>
  </si>
  <si>
    <t>West Ham vs Sunderland</t>
  </si>
  <si>
    <t>Sunderland vs Burnley</t>
  </si>
  <si>
    <t>Arsenal vs Sunderland</t>
  </si>
  <si>
    <t>Burnley vs West Ham</t>
  </si>
  <si>
    <t>Crystal Palace vs Burnley</t>
  </si>
  <si>
    <t>Sunderland vs Liverpool</t>
  </si>
  <si>
    <t>Chelsea vs Burnley</t>
  </si>
  <si>
    <t>Sunderland vs Fulham</t>
  </si>
  <si>
    <t>Bournemouth vs Sunderland</t>
  </si>
  <si>
    <t>Burnley vs Brentford</t>
  </si>
  <si>
    <t>Everton vs Burnley</t>
  </si>
  <si>
    <t>Burnley vs Bournemouth</t>
  </si>
  <si>
    <t>Sunderland vs Brighton</t>
  </si>
  <si>
    <t>Burnley vs Brighton</t>
  </si>
  <si>
    <t>Sunderland vs Spurs</t>
  </si>
  <si>
    <t>Aston Villa vs Sunderland</t>
  </si>
  <si>
    <t>Nott'm Forest vs Burnley</t>
  </si>
  <si>
    <t>Burnley vs Man City</t>
  </si>
  <si>
    <t>Sunderland vs Nott'm Forest</t>
  </si>
  <si>
    <t>Wolves vs Sunderland</t>
  </si>
  <si>
    <t>Arsenal vs Burnley</t>
  </si>
  <si>
    <t>Everton vs Sunderland</t>
  </si>
  <si>
    <t>Burnley vs Wolves</t>
  </si>
  <si>
    <t>Sunderland vs Chelsea</t>
  </si>
  <si>
    <t>Leeds Utd vs Everton</t>
  </si>
  <si>
    <t>Arsenal vs Leeds Utd</t>
  </si>
  <si>
    <t>Leeds Utd vs Newcastle</t>
  </si>
  <si>
    <t>Fulham vs Leeds Utd</t>
  </si>
  <si>
    <t>Wolves vs Leeds Utd</t>
  </si>
  <si>
    <t>Leeds Utd vs Bournemouth</t>
  </si>
  <si>
    <t>Leeds Utd vs Spurs</t>
  </si>
  <si>
    <t>Burnley vs Leeds Utd</t>
  </si>
  <si>
    <t>Leeds Utd vs West Ham</t>
  </si>
  <si>
    <t>Brighton vs Leeds Utd</t>
  </si>
  <si>
    <t>Nott'm Forest vs Leeds Utd</t>
  </si>
  <si>
    <t>Leeds Utd vs Aston Villa</t>
  </si>
  <si>
    <t>Man City vs Leeds Utd</t>
  </si>
  <si>
    <t>Leeds Utd vs Chelsea</t>
  </si>
  <si>
    <t>Leeds Utd vs Liverpool</t>
  </si>
  <si>
    <t>Brentford vs Leeds Utd</t>
  </si>
  <si>
    <t>Leeds Utd vs Crystal Palace</t>
  </si>
  <si>
    <t>Sunderland vs Leeds Utd</t>
  </si>
  <si>
    <t>Liverpool vs Leeds Utd</t>
  </si>
  <si>
    <t>Leeds Utd vs Man Utd</t>
  </si>
  <si>
    <t>Leeds Utd vs Fulham</t>
  </si>
  <si>
    <t>Everton vs Leeds Utd</t>
  </si>
  <si>
    <t>Leeds Utd vs Arsenal</t>
  </si>
  <si>
    <t>Leeds Utd vs Nott'm Forest</t>
  </si>
  <si>
    <t>Chelsea vs Leeds Utd</t>
  </si>
  <si>
    <t>Aston Villa vs Leeds Utd</t>
  </si>
  <si>
    <t>Leeds Utd vs Man City</t>
  </si>
  <si>
    <t>Leeds Utd vs Sunderland</t>
  </si>
  <si>
    <t>Crystal Palace vs Leeds Utd</t>
  </si>
  <si>
    <t>Man Utd vs Leeds Utd</t>
  </si>
  <si>
    <t>Leeds Utd vs Wolves</t>
  </si>
  <si>
    <t>Bournemouth vs Leeds Utd</t>
  </si>
  <si>
    <t>Leeds Utd vs Burnley</t>
  </si>
  <si>
    <t>Leeds Utd vs Brighton</t>
  </si>
  <si>
    <t>West Ham vs Leeds Utd</t>
  </si>
  <si>
    <t>Brentford vs Sunderland</t>
  </si>
  <si>
    <t>Burnley vs Man Utd</t>
  </si>
  <si>
    <t>Newcastle vs Leeds Utd</t>
  </si>
  <si>
    <t>Fulham vs Burnley</t>
  </si>
  <si>
    <t>Leeds Utd vs Brentford</t>
  </si>
  <si>
    <t>Newcastle vs Sunderland</t>
  </si>
  <si>
    <t>Burnley vs Aston Villa</t>
  </si>
  <si>
    <t>Spurs vs Leeds Utd</t>
  </si>
  <si>
    <t>Sunderland vs Man Utd</t>
  </si>
  <si>
    <t>Premier League 2025</t>
  </si>
  <si>
    <t>August 15, Fri</t>
  </si>
  <si>
    <t>August 16, Sat</t>
  </si>
  <si>
    <t>August 17, Sun</t>
  </si>
  <si>
    <t>August 18, Mon</t>
  </si>
  <si>
    <t>August 23, Sat</t>
  </si>
  <si>
    <t>August 30, Sat</t>
  </si>
  <si>
    <t>September 13, Sat</t>
  </si>
  <si>
    <t>September 20, Sat</t>
  </si>
  <si>
    <t>September 27, Sat</t>
  </si>
  <si>
    <t>October 4, Sat</t>
  </si>
  <si>
    <t>October 18, Sat</t>
  </si>
  <si>
    <t>October 25, Sat</t>
  </si>
  <si>
    <t>November 1, Sat</t>
  </si>
  <si>
    <t>November 8, Sat</t>
  </si>
  <si>
    <t>November 22, Sat</t>
  </si>
  <si>
    <t>November 29, Sat</t>
  </si>
  <si>
    <t>December 3, Wed</t>
  </si>
  <si>
    <t>December 6, Sat</t>
  </si>
  <si>
    <t>December 13, Sat</t>
  </si>
  <si>
    <t>December 20, Sat</t>
  </si>
  <si>
    <t>December 27, Sat</t>
  </si>
  <si>
    <t>December 30, Tue</t>
  </si>
  <si>
    <t>January 3, Sat</t>
  </si>
  <si>
    <t>January 7, Wed</t>
  </si>
  <si>
    <t>January 17, Sat</t>
  </si>
  <si>
    <t>January 24, Sat</t>
  </si>
  <si>
    <t>January 31, Sat</t>
  </si>
  <si>
    <t>February 7, Sat</t>
  </si>
  <si>
    <t>February 11, Wed</t>
  </si>
  <si>
    <t>February 21, Sat</t>
  </si>
  <si>
    <t>February 28, Sat</t>
  </si>
  <si>
    <t>March 4, Wed</t>
  </si>
  <si>
    <t>March 14, Sat</t>
  </si>
  <si>
    <t>March 21, Sat</t>
  </si>
  <si>
    <t>April 11, Sat</t>
  </si>
  <si>
    <t>April 18, Sat</t>
  </si>
  <si>
    <t>April 25, Sat</t>
  </si>
  <si>
    <t>May 2, Sat</t>
  </si>
  <si>
    <t>May 9, Sat</t>
  </si>
  <si>
    <t>May 17, Sun</t>
  </si>
  <si>
    <t>May 24, Sun</t>
  </si>
  <si>
    <t>MatchDate</t>
  </si>
  <si>
    <t>Win Probability</t>
  </si>
  <si>
    <t>Draw Probability</t>
  </si>
  <si>
    <t>Loss Probability</t>
  </si>
  <si>
    <t>Expected Home Goal</t>
  </si>
  <si>
    <t>Expected Away Goal</t>
  </si>
  <si>
    <t>State</t>
  </si>
  <si>
    <t>Same</t>
  </si>
  <si>
    <t>August 22, Fri</t>
  </si>
  <si>
    <t>August 24, Sun</t>
  </si>
  <si>
    <t>August 25, Mon</t>
  </si>
  <si>
    <t>August 29, Fri</t>
  </si>
  <si>
    <t>August 31, Sun</t>
  </si>
  <si>
    <t>September 14, Sun</t>
  </si>
  <si>
    <t>September 21, Sun</t>
  </si>
  <si>
    <t>September 28, Sun</t>
  </si>
  <si>
    <t>September 29, Mon</t>
  </si>
  <si>
    <t>Updated on 7/27/2025</t>
  </si>
  <si>
    <t>Enter home goal and away goal in "fixtures" tab</t>
  </si>
  <si>
    <t xml:space="preserve">"League Table", "Fixtures_by_Clubs" and "Fixtures_by_Date" Tabs will automatically update. </t>
  </si>
  <si>
    <t>Fixture calendar is subject to change.  Check back at excel4soccer.com for score charts with updated schedule.</t>
  </si>
  <si>
    <t>Good luck to your favorite club!</t>
  </si>
  <si>
    <t>Fixture date and time are subject to change.</t>
  </si>
  <si>
    <t>Introduction: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</si>
</sst>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[$-F800]dddd\,\ mmmm\ dd\,\ yyyy"/>
    <numFmt numFmtId="165" formatCode="h:mm;@"/>
    <numFmt numFmtId="166" formatCode="[$-409]m/d/yy\ h:mm\ AM/PM;@"/>
    <numFmt numFmtId="167" formatCode="0.0%"/>
    <numFmt numFmtId="168" formatCode="[$-409]h:mm\ AM/PM;@"/>
    <numFmt numFmtId="169" formatCode="hh:mm"/>
    <numFmt numFmtId="170" formatCode="mm\-dd\-yy\ h:mm\ AM/PM"/>
    <numFmt numFmtId="171" formatCode="[$-409]d\-mmm;@"/>
    <numFmt numFmtId="172" formatCode="[$-409]d\-mmm\-yy;@"/>
  </numFmts>
  <fonts count="39">
    <font>
      <sz val="11"/>
      <color theme="1"/>
      <name val="Calibri"/>
      <family val="2"/>
      <scheme val="minor"/>
    </font>
    <font>
      <sz val="10"/>
      <name val="Dusha V5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rgb="FFFCFCFC"/>
      <name val="Calibri"/>
      <family val="2"/>
      <scheme val="minor"/>
    </font>
    <font>
      <sz val="20"/>
      <color rgb="FF0C0C0C"/>
      <name val="Calibri"/>
      <family val="2"/>
      <scheme val="minor"/>
    </font>
    <font>
      <sz val="11"/>
      <name val="Calibri"/>
      <family val="2"/>
      <scheme val="minor"/>
    </font>
    <font>
      <sz val="20"/>
      <color rgb="FFEC0C1C"/>
      <name val="Calibri"/>
      <family val="2"/>
      <scheme val="minor"/>
    </font>
    <font>
      <b/>
      <sz val="24"/>
      <color rgb="FFFCFCFC"/>
      <name val="Calibri"/>
      <family val="2"/>
      <scheme val="minor"/>
    </font>
    <font>
      <sz val="10"/>
      <color rgb="FF0C0C0C"/>
      <name val="Calibri"/>
      <family val="2"/>
      <scheme val="minor"/>
    </font>
    <font>
      <b/>
      <sz val="24"/>
      <color rgb="FF0C0C0C"/>
      <name val="Calibri"/>
      <family val="2"/>
      <scheme val="minor"/>
    </font>
    <font>
      <sz val="2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0"/>
      <color rgb="FFFCCF60"/>
      <name val="Calibri"/>
      <family val="2"/>
      <scheme val="minor"/>
    </font>
    <font>
      <sz val="20"/>
      <color rgb="FFF19DA3"/>
      <name val="Calibri"/>
      <family val="2"/>
      <scheme val="minor"/>
    </font>
    <font>
      <b/>
      <sz val="20"/>
      <color rgb="FFFCFCFC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20"/>
      <color rgb="FF0C0C0C"/>
      <name val="Calibri"/>
      <family val="2"/>
      <scheme val="minor"/>
    </font>
    <font>
      <sz val="12"/>
      <color rgb="FF38003C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4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36"/>
      <color rgb="FFFCFCFC"/>
      <name val="Calibri"/>
      <family val="2"/>
      <scheme val="minor"/>
    </font>
    <font>
      <b/>
      <sz val="36"/>
      <color rgb="FF0C0C0C"/>
      <name val="Calibri"/>
      <family val="2"/>
      <scheme val="minor"/>
    </font>
    <font>
      <sz val="11"/>
      <color rgb="FFFFFFFF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name val="Calibri"/>
      <family val="2"/>
      <scheme val="minor"/>
    </font>
    <font>
      <sz val="8"/>
      <name val="Calibri"/>
      <family val="2"/>
      <scheme val="minor"/>
    </font>
    <font>
      <sz val="20"/>
      <color rgb="FF000000"/>
      <name val="Calibri"/>
      <family val="2"/>
      <scheme val="minor"/>
    </font>
    <font>
      <b/>
      <u/>
      <sz val="20"/>
      <color theme="1"/>
      <name val="Calibri"/>
      <family val="2"/>
      <scheme val="minor"/>
    </font>
  </fonts>
  <fills count="6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EC0C1C"/>
        <bgColor indexed="64"/>
      </patternFill>
    </fill>
    <fill>
      <patternFill patternType="solid">
        <fgColor rgb="FFFAA4AA"/>
        <bgColor indexed="64"/>
      </patternFill>
    </fill>
    <fill>
      <patternFill patternType="solid">
        <fgColor rgb="FF0A56A3"/>
        <bgColor indexed="64"/>
      </patternFill>
    </fill>
    <fill>
      <patternFill patternType="solid">
        <fgColor rgb="FFB0D5FA"/>
        <bgColor indexed="64"/>
      </patternFill>
    </fill>
    <fill>
      <patternFill patternType="solid">
        <fgColor rgb="FF80234C"/>
        <bgColor indexed="64"/>
      </patternFill>
    </fill>
    <fill>
      <patternFill patternType="solid">
        <fgColor rgb="FFE49EBD"/>
        <bgColor indexed="64"/>
      </patternFill>
    </fill>
    <fill>
      <patternFill patternType="solid">
        <fgColor rgb="FF034694"/>
        <bgColor indexed="64"/>
      </patternFill>
    </fill>
    <fill>
      <patternFill patternType="solid">
        <fgColor rgb="FF8DC0FD"/>
        <bgColor indexed="64"/>
      </patternFill>
    </fill>
    <fill>
      <patternFill patternType="solid">
        <fgColor rgb="FF1B458F"/>
        <bgColor indexed="64"/>
      </patternFill>
    </fill>
    <fill>
      <patternFill patternType="solid">
        <fgColor rgb="FFC7D9F5"/>
        <bgColor indexed="64"/>
      </patternFill>
    </fill>
    <fill>
      <patternFill patternType="solid">
        <fgColor rgb="FF063A99"/>
        <bgColor indexed="64"/>
      </patternFill>
    </fill>
    <fill>
      <patternFill patternType="solid">
        <fgColor rgb="FFAAC7FC"/>
        <bgColor indexed="64"/>
      </patternFill>
    </fill>
    <fill>
      <patternFill patternType="solid">
        <fgColor rgb="FFE0202C"/>
        <bgColor indexed="64"/>
      </patternFill>
    </fill>
    <fill>
      <patternFill patternType="solid">
        <fgColor rgb="FFF19DA3"/>
        <bgColor indexed="64"/>
      </patternFill>
    </fill>
    <fill>
      <patternFill patternType="solid">
        <fgColor rgb="FF99C5E7"/>
        <bgColor indexed="64"/>
      </patternFill>
    </fill>
    <fill>
      <patternFill patternType="solid">
        <fgColor rgb="FFB8D7EE"/>
        <bgColor indexed="64"/>
      </patternFill>
    </fill>
    <fill>
      <patternFill patternType="solid">
        <fgColor rgb="FFDC1F29"/>
        <bgColor indexed="64"/>
      </patternFill>
    </fill>
    <fill>
      <patternFill patternType="solid">
        <fgColor rgb="FFF197A1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DCDCDC"/>
        <bgColor indexed="64"/>
      </patternFill>
    </fill>
    <fill>
      <patternFill patternType="solid">
        <fgColor rgb="FFFBB7BC"/>
        <bgColor indexed="64"/>
      </patternFill>
    </fill>
    <fill>
      <patternFill patternType="solid">
        <fgColor rgb="FF11214B"/>
        <bgColor indexed="64"/>
      </patternFill>
    </fill>
    <fill>
      <patternFill patternType="solid">
        <fgColor rgb="FF98AFE8"/>
        <bgColor indexed="64"/>
      </patternFill>
    </fill>
    <fill>
      <patternFill patternType="solid">
        <fgColor rgb="FF7A263A"/>
        <bgColor indexed="64"/>
      </patternFill>
    </fill>
    <fill>
      <patternFill patternType="solid">
        <fgColor rgb="FFD77F94"/>
        <bgColor indexed="64"/>
      </patternFill>
    </fill>
    <fill>
      <patternFill patternType="solid">
        <fgColor rgb="FFFBBB1D"/>
        <bgColor indexed="64"/>
      </patternFill>
    </fill>
    <fill>
      <patternFill patternType="solid">
        <fgColor rgb="FFFCCF6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03E4B"/>
        <bgColor indexed="64"/>
      </patternFill>
    </fill>
    <fill>
      <patternFill patternType="solid">
        <fgColor rgb="FF4180C0"/>
        <bgColor indexed="64"/>
      </patternFill>
    </fill>
    <fill>
      <patternFill patternType="solid">
        <fgColor rgb="FFA14C71"/>
        <bgColor indexed="64"/>
      </patternFill>
    </fill>
    <fill>
      <patternFill patternType="solid">
        <fgColor rgb="FF316EB7"/>
        <bgColor indexed="64"/>
      </patternFill>
    </fill>
    <fill>
      <patternFill patternType="solid">
        <fgColor rgb="FFA3CBE9"/>
        <bgColor indexed="64"/>
      </patternFill>
    </fill>
    <fill>
      <patternFill patternType="solid">
        <fgColor rgb="FF494949"/>
        <bgColor indexed="64"/>
      </patternFill>
    </fill>
    <fill>
      <patternFill patternType="solid">
        <fgColor rgb="FF994358"/>
        <bgColor indexed="64"/>
      </patternFill>
    </fill>
    <fill>
      <patternFill patternType="solid">
        <fgColor rgb="FFFBC133"/>
        <bgColor indexed="64"/>
      </patternFill>
    </fill>
    <fill>
      <patternFill patternType="solid">
        <fgColor rgb="FFC61D2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70E22"/>
        <bgColor indexed="64"/>
      </patternFill>
    </fill>
    <fill>
      <patternFill patternType="solid">
        <fgColor rgb="FFD4474D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3E507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660E36"/>
        <bgColor indexed="64"/>
      </patternFill>
    </fill>
    <fill>
      <patternFill patternType="solid">
        <fgColor rgb="FFDE3743"/>
        <bgColor indexed="64"/>
      </patternFill>
    </fill>
    <fill>
      <patternFill patternType="solid">
        <fgColor rgb="FF6C1D45"/>
        <bgColor indexed="64"/>
      </patternFill>
    </fill>
    <fill>
      <patternFill patternType="solid">
        <fgColor rgb="FFEB172B"/>
        <bgColor indexed="64"/>
      </patternFill>
    </fill>
    <fill>
      <patternFill patternType="solid">
        <fgColor rgb="FFD41E2A"/>
        <bgColor indexed="64"/>
      </patternFill>
    </fill>
    <fill>
      <patternFill patternType="solid">
        <fgColor rgb="FFF0949B"/>
        <bgColor indexed="64"/>
      </patternFill>
    </fill>
    <fill>
      <patternFill patternType="solid">
        <fgColor rgb="FFD46F72"/>
        <bgColor indexed="64"/>
      </patternFill>
    </fill>
    <fill>
      <patternFill patternType="solid">
        <fgColor rgb="FF64C8F5"/>
        <bgColor indexed="64"/>
      </patternFill>
    </fill>
    <fill>
      <patternFill patternType="solid">
        <fgColor rgb="FF263D89"/>
        <bgColor indexed="64"/>
      </patternFill>
    </fill>
    <fill>
      <patternFill patternType="solid">
        <fgColor theme="9" tint="0.79995117038483843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</borders>
  <cellStyleXfs count="4">
    <xf numFmtId="0" fontId="0" fillId="0" borderId="0"/>
    <xf numFmtId="0" fontId="3" fillId="3" borderId="0" applyNumberFormat="0" applyBorder="0" applyAlignment="0" applyProtection="0"/>
    <xf numFmtId="0" fontId="2" fillId="2" borderId="0" applyNumberFormat="0" applyBorder="0" applyAlignment="0" applyProtection="0"/>
    <xf numFmtId="0" fontId="4" fillId="0" borderId="0" applyNumberFormat="0" applyFill="0" applyBorder="0" applyAlignment="0" applyProtection="0"/>
  </cellStyleXfs>
  <cellXfs count="484">
    <xf numFmtId="0" fontId="0" fillId="0" borderId="0" xfId="0"/>
    <xf numFmtId="0" fontId="5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7" fillId="4" borderId="0" xfId="0" applyFont="1" applyFill="1"/>
    <xf numFmtId="0" fontId="8" fillId="5" borderId="0" xfId="0" applyFont="1" applyFill="1"/>
    <xf numFmtId="0" fontId="6" fillId="0" borderId="0" xfId="0" applyFont="1" applyAlignment="1">
      <alignment horizontal="left"/>
    </xf>
    <xf numFmtId="0" fontId="7" fillId="6" borderId="0" xfId="0" applyFont="1" applyFill="1"/>
    <xf numFmtId="0" fontId="8" fillId="7" borderId="0" xfId="0" applyFont="1" applyFill="1"/>
    <xf numFmtId="0" fontId="7" fillId="8" borderId="0" xfId="0" applyFont="1" applyFill="1"/>
    <xf numFmtId="0" fontId="8" fillId="9" borderId="0" xfId="0" applyFont="1" applyFill="1"/>
    <xf numFmtId="0" fontId="7" fillId="10" borderId="0" xfId="0" applyFont="1" applyFill="1"/>
    <xf numFmtId="0" fontId="8" fillId="11" borderId="0" xfId="0" applyFont="1" applyFill="1"/>
    <xf numFmtId="0" fontId="7" fillId="12" borderId="0" xfId="0" applyFont="1" applyFill="1"/>
    <xf numFmtId="0" fontId="8" fillId="13" borderId="0" xfId="0" applyFont="1" applyFill="1"/>
    <xf numFmtId="0" fontId="7" fillId="14" borderId="0" xfId="0" applyFont="1" applyFill="1"/>
    <xf numFmtId="0" fontId="8" fillId="15" borderId="0" xfId="0" applyFont="1" applyFill="1"/>
    <xf numFmtId="0" fontId="7" fillId="16" borderId="0" xfId="0" applyFont="1" applyFill="1"/>
    <xf numFmtId="0" fontId="8" fillId="17" borderId="0" xfId="0" applyFont="1" applyFill="1"/>
    <xf numFmtId="0" fontId="8" fillId="18" borderId="0" xfId="0" applyFont="1" applyFill="1"/>
    <xf numFmtId="0" fontId="8" fillId="19" borderId="0" xfId="0" applyFont="1" applyFill="1"/>
    <xf numFmtId="0" fontId="7" fillId="20" borderId="0" xfId="0" applyFont="1" applyFill="1"/>
    <xf numFmtId="0" fontId="8" fillId="21" borderId="0" xfId="0" applyFont="1" applyFill="1"/>
    <xf numFmtId="0" fontId="7" fillId="22" borderId="0" xfId="0" applyFont="1" applyFill="1"/>
    <xf numFmtId="0" fontId="8" fillId="23" borderId="0" xfId="0" applyFont="1" applyFill="1"/>
    <xf numFmtId="0" fontId="7" fillId="25" borderId="0" xfId="0" applyFont="1" applyFill="1"/>
    <xf numFmtId="0" fontId="8" fillId="26" borderId="0" xfId="0" applyFont="1" applyFill="1"/>
    <xf numFmtId="0" fontId="7" fillId="27" borderId="0" xfId="0" applyFont="1" applyFill="1"/>
    <xf numFmtId="0" fontId="8" fillId="28" borderId="0" xfId="0" applyFont="1" applyFill="1"/>
    <xf numFmtId="0" fontId="8" fillId="29" borderId="0" xfId="0" applyFont="1" applyFill="1"/>
    <xf numFmtId="0" fontId="8" fillId="30" borderId="0" xfId="0" applyFont="1" applyFill="1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65" fontId="0" fillId="0" borderId="2" xfId="0" applyNumberFormat="1" applyBorder="1"/>
    <xf numFmtId="165" fontId="0" fillId="0" borderId="3" xfId="0" applyNumberFormat="1" applyBorder="1"/>
    <xf numFmtId="166" fontId="0" fillId="0" borderId="4" xfId="0" applyNumberFormat="1" applyBorder="1"/>
    <xf numFmtId="165" fontId="9" fillId="0" borderId="4" xfId="0" applyNumberFormat="1" applyFont="1" applyBorder="1" applyAlignment="1">
      <alignment horizontal="center"/>
    </xf>
    <xf numFmtId="165" fontId="9" fillId="0" borderId="4" xfId="0" applyNumberFormat="1" applyFont="1" applyBorder="1" applyAlignment="1">
      <alignment horizontal="center" vertical="center" wrapText="1"/>
    </xf>
    <xf numFmtId="2" fontId="9" fillId="0" borderId="4" xfId="0" applyNumberFormat="1" applyFont="1" applyBorder="1" applyAlignment="1">
      <alignment horizontal="center" vertical="center"/>
    </xf>
    <xf numFmtId="2" fontId="9" fillId="0" borderId="6" xfId="0" applyNumberFormat="1" applyFont="1" applyBorder="1" applyAlignment="1">
      <alignment horizontal="center" vertical="center"/>
    </xf>
    <xf numFmtId="166" fontId="0" fillId="0" borderId="7" xfId="0" applyNumberFormat="1" applyBorder="1"/>
    <xf numFmtId="165" fontId="9" fillId="0" borderId="7" xfId="0" applyNumberFormat="1" applyFont="1" applyBorder="1" applyAlignment="1">
      <alignment horizontal="center"/>
    </xf>
    <xf numFmtId="165" fontId="9" fillId="0" borderId="7" xfId="0" applyNumberFormat="1" applyFont="1" applyBorder="1" applyAlignment="1">
      <alignment horizontal="center" vertical="center" wrapText="1"/>
    </xf>
    <xf numFmtId="165" fontId="9" fillId="0" borderId="0" xfId="0" applyNumberFormat="1" applyFont="1" applyAlignment="1">
      <alignment horizontal="center"/>
    </xf>
    <xf numFmtId="2" fontId="9" fillId="0" borderId="7" xfId="0" applyNumberFormat="1" applyFont="1" applyBorder="1" applyAlignment="1">
      <alignment horizontal="center" vertical="center"/>
    </xf>
    <xf numFmtId="2" fontId="9" fillId="0" borderId="3" xfId="0" applyNumberFormat="1" applyFont="1" applyBorder="1" applyAlignment="1">
      <alignment horizontal="center" vertical="center"/>
    </xf>
    <xf numFmtId="2" fontId="0" fillId="0" borderId="0" xfId="0" applyNumberFormat="1" applyAlignment="1">
      <alignment vertical="center"/>
    </xf>
    <xf numFmtId="165" fontId="0" fillId="0" borderId="8" xfId="0" applyNumberFormat="1" applyBorder="1"/>
    <xf numFmtId="165" fontId="0" fillId="0" borderId="9" xfId="0" applyNumberFormat="1" applyBorder="1"/>
    <xf numFmtId="165" fontId="0" fillId="0" borderId="10" xfId="0" applyNumberFormat="1" applyBorder="1"/>
    <xf numFmtId="166" fontId="0" fillId="0" borderId="11" xfId="0" applyNumberFormat="1" applyBorder="1"/>
    <xf numFmtId="165" fontId="9" fillId="0" borderId="11" xfId="0" applyNumberFormat="1" applyFont="1" applyBorder="1" applyAlignment="1">
      <alignment horizontal="center"/>
    </xf>
    <xf numFmtId="165" fontId="9" fillId="0" borderId="11" xfId="0" applyNumberFormat="1" applyFont="1" applyBorder="1" applyAlignment="1">
      <alignment horizontal="center" vertical="center" wrapText="1"/>
    </xf>
    <xf numFmtId="2" fontId="9" fillId="0" borderId="11" xfId="0" applyNumberFormat="1" applyFont="1" applyBorder="1" applyAlignment="1">
      <alignment horizontal="center" vertical="center"/>
    </xf>
    <xf numFmtId="2" fontId="9" fillId="0" borderId="10" xfId="0" applyNumberFormat="1" applyFont="1" applyBorder="1" applyAlignment="1">
      <alignment horizontal="center" vertical="center"/>
    </xf>
    <xf numFmtId="165" fontId="0" fillId="0" borderId="1" xfId="0" applyNumberFormat="1" applyBorder="1"/>
    <xf numFmtId="165" fontId="0" fillId="0" borderId="5" xfId="0" applyNumberFormat="1" applyBorder="1"/>
    <xf numFmtId="165" fontId="0" fillId="0" borderId="6" xfId="0" applyNumberFormat="1" applyBorder="1"/>
    <xf numFmtId="0" fontId="9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165" fontId="9" fillId="0" borderId="0" xfId="0" applyNumberFormat="1" applyFont="1" applyAlignment="1">
      <alignment horizontal="center" vertical="center" wrapText="1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0" fillId="4" borderId="0" xfId="0" applyFont="1" applyFill="1"/>
    <xf numFmtId="0" fontId="11" fillId="4" borderId="0" xfId="0" applyFont="1" applyFill="1" applyAlignment="1">
      <alignment horizontal="right"/>
    </xf>
    <xf numFmtId="0" fontId="8" fillId="5" borderId="0" xfId="0" applyFont="1" applyFill="1" applyAlignment="1">
      <alignment horizontal="right"/>
    </xf>
    <xf numFmtId="0" fontId="8" fillId="5" borderId="0" xfId="0" applyFont="1" applyFill="1" applyAlignment="1">
      <alignment horizontal="center"/>
    </xf>
    <xf numFmtId="0" fontId="8" fillId="5" borderId="0" xfId="0" applyFont="1" applyFill="1" applyAlignment="1">
      <alignment horizontal="left"/>
    </xf>
    <xf numFmtId="0" fontId="12" fillId="5" borderId="0" xfId="0" applyFont="1" applyFill="1" applyAlignment="1">
      <alignment horizontal="left"/>
    </xf>
    <xf numFmtId="0" fontId="11" fillId="6" borderId="0" xfId="0" applyFont="1" applyFill="1" applyAlignment="1">
      <alignment horizontal="right"/>
    </xf>
    <xf numFmtId="0" fontId="8" fillId="7" borderId="0" xfId="0" applyFont="1" applyFill="1" applyAlignment="1">
      <alignment horizontal="right"/>
    </xf>
    <xf numFmtId="0" fontId="8" fillId="7" borderId="0" xfId="0" applyFont="1" applyFill="1" applyAlignment="1">
      <alignment horizontal="center"/>
    </xf>
    <xf numFmtId="0" fontId="8" fillId="7" borderId="0" xfId="0" applyFont="1" applyFill="1" applyAlignment="1">
      <alignment horizontal="left"/>
    </xf>
    <xf numFmtId="0" fontId="12" fillId="7" borderId="0" xfId="0" applyFont="1" applyFill="1" applyAlignment="1">
      <alignment horizontal="left"/>
    </xf>
    <xf numFmtId="0" fontId="11" fillId="8" borderId="0" xfId="0" applyFont="1" applyFill="1" applyAlignment="1">
      <alignment horizontal="right"/>
    </xf>
    <xf numFmtId="0" fontId="8" fillId="9" borderId="0" xfId="0" applyFont="1" applyFill="1" applyAlignment="1">
      <alignment horizontal="right"/>
    </xf>
    <xf numFmtId="0" fontId="8" fillId="9" borderId="0" xfId="0" applyFont="1" applyFill="1" applyAlignment="1">
      <alignment horizontal="center"/>
    </xf>
    <xf numFmtId="0" fontId="8" fillId="9" borderId="0" xfId="0" applyFont="1" applyFill="1" applyAlignment="1">
      <alignment horizontal="left"/>
    </xf>
    <xf numFmtId="0" fontId="12" fillId="9" borderId="0" xfId="0" applyFont="1" applyFill="1" applyAlignment="1">
      <alignment horizontal="left"/>
    </xf>
    <xf numFmtId="0" fontId="8" fillId="19" borderId="0" xfId="0" applyFont="1" applyFill="1" applyAlignment="1">
      <alignment horizontal="right"/>
    </xf>
    <xf numFmtId="0" fontId="8" fillId="19" borderId="0" xfId="0" applyFont="1" applyFill="1" applyAlignment="1">
      <alignment horizontal="center"/>
    </xf>
    <xf numFmtId="0" fontId="8" fillId="19" borderId="0" xfId="0" applyFont="1" applyFill="1" applyAlignment="1">
      <alignment horizontal="left"/>
    </xf>
    <xf numFmtId="0" fontId="12" fillId="19" borderId="0" xfId="0" applyFont="1" applyFill="1" applyAlignment="1">
      <alignment horizontal="left"/>
    </xf>
    <xf numFmtId="0" fontId="11" fillId="22" borderId="0" xfId="0" applyFont="1" applyFill="1" applyAlignment="1">
      <alignment horizontal="right"/>
    </xf>
    <xf numFmtId="0" fontId="8" fillId="23" borderId="0" xfId="0" applyFont="1" applyFill="1" applyAlignment="1">
      <alignment horizontal="right"/>
    </xf>
    <xf numFmtId="0" fontId="8" fillId="23" borderId="0" xfId="0" applyFont="1" applyFill="1" applyAlignment="1">
      <alignment horizontal="center"/>
    </xf>
    <xf numFmtId="0" fontId="8" fillId="23" borderId="0" xfId="0" applyFont="1" applyFill="1" applyAlignment="1">
      <alignment horizontal="left"/>
    </xf>
    <xf numFmtId="0" fontId="12" fillId="23" borderId="0" xfId="0" applyFont="1" applyFill="1" applyAlignment="1">
      <alignment horizontal="left"/>
    </xf>
    <xf numFmtId="0" fontId="8" fillId="26" borderId="0" xfId="0" applyFont="1" applyFill="1" applyAlignment="1">
      <alignment horizontal="right"/>
    </xf>
    <xf numFmtId="0" fontId="8" fillId="26" borderId="0" xfId="0" applyFont="1" applyFill="1" applyAlignment="1">
      <alignment horizontal="left"/>
    </xf>
    <xf numFmtId="0" fontId="11" fillId="27" borderId="0" xfId="0" applyFont="1" applyFill="1" applyAlignment="1">
      <alignment horizontal="right"/>
    </xf>
    <xf numFmtId="0" fontId="8" fillId="28" borderId="0" xfId="0" applyFont="1" applyFill="1" applyAlignment="1">
      <alignment horizontal="right"/>
    </xf>
    <xf numFmtId="0" fontId="8" fillId="28" borderId="0" xfId="0" applyFont="1" applyFill="1" applyAlignment="1">
      <alignment horizontal="center"/>
    </xf>
    <xf numFmtId="0" fontId="8" fillId="28" borderId="0" xfId="0" applyFont="1" applyFill="1" applyAlignment="1">
      <alignment horizontal="left"/>
    </xf>
    <xf numFmtId="0" fontId="12" fillId="28" borderId="0" xfId="0" applyFont="1" applyFill="1" applyAlignment="1">
      <alignment horizontal="left"/>
    </xf>
    <xf numFmtId="0" fontId="13" fillId="29" borderId="0" xfId="0" applyFont="1" applyFill="1" applyAlignment="1">
      <alignment horizontal="right"/>
    </xf>
    <xf numFmtId="0" fontId="8" fillId="30" borderId="0" xfId="0" applyFont="1" applyFill="1" applyAlignment="1">
      <alignment horizontal="right"/>
    </xf>
    <xf numFmtId="0" fontId="8" fillId="30" borderId="0" xfId="0" applyFont="1" applyFill="1" applyAlignment="1">
      <alignment horizontal="center"/>
    </xf>
    <xf numFmtId="0" fontId="8" fillId="30" borderId="0" xfId="0" applyFont="1" applyFill="1" applyAlignment="1">
      <alignment horizontal="left"/>
    </xf>
    <xf numFmtId="0" fontId="12" fillId="30" borderId="0" xfId="0" applyFont="1" applyFill="1" applyAlignment="1">
      <alignment horizontal="left"/>
    </xf>
    <xf numFmtId="0" fontId="14" fillId="31" borderId="12" xfId="0" applyFont="1" applyFill="1" applyBorder="1"/>
    <xf numFmtId="0" fontId="14" fillId="31" borderId="13" xfId="0" applyFont="1" applyFill="1" applyBorder="1" applyAlignment="1" applyProtection="1">
      <alignment horizontal="left" indent="1"/>
      <protection locked="0"/>
    </xf>
    <xf numFmtId="0" fontId="9" fillId="0" borderId="0" xfId="0" applyFont="1"/>
    <xf numFmtId="1" fontId="17" fillId="0" borderId="0" xfId="0" applyNumberFormat="1" applyFont="1" applyAlignment="1" applyProtection="1">
      <alignment horizontal="left"/>
      <protection locked="0"/>
    </xf>
    <xf numFmtId="0" fontId="14" fillId="0" borderId="0" xfId="0" applyFont="1"/>
    <xf numFmtId="0" fontId="6" fillId="33" borderId="3" xfId="0" applyFont="1" applyFill="1" applyBorder="1"/>
    <xf numFmtId="0" fontId="18" fillId="0" borderId="0" xfId="0" applyFont="1"/>
    <xf numFmtId="0" fontId="16" fillId="0" borderId="0" xfId="0" applyFont="1" applyAlignment="1">
      <alignment horizontal="left"/>
    </xf>
    <xf numFmtId="0" fontId="6" fillId="33" borderId="0" xfId="0" applyFont="1" applyFill="1" applyAlignment="1">
      <alignment horizontal="center"/>
    </xf>
    <xf numFmtId="0" fontId="6" fillId="33" borderId="10" xfId="0" applyFont="1" applyFill="1" applyBorder="1"/>
    <xf numFmtId="14" fontId="0" fillId="0" borderId="0" xfId="0" applyNumberFormat="1"/>
    <xf numFmtId="169" fontId="14" fillId="0" borderId="0" xfId="0" applyNumberFormat="1" applyFont="1"/>
    <xf numFmtId="0" fontId="19" fillId="0" borderId="0" xfId="0" applyFont="1"/>
    <xf numFmtId="0" fontId="20" fillId="0" borderId="0" xfId="0" applyFont="1"/>
    <xf numFmtId="0" fontId="14" fillId="0" borderId="0" xfId="0" applyFont="1" applyAlignment="1">
      <alignment horizontal="left"/>
    </xf>
    <xf numFmtId="0" fontId="0" fillId="0" borderId="0" xfId="0" applyAlignment="1">
      <alignment horizontal="right"/>
    </xf>
    <xf numFmtId="0" fontId="22" fillId="0" borderId="15" xfId="0" applyFont="1" applyBorder="1" applyAlignment="1">
      <alignment horizontal="center" wrapText="1"/>
    </xf>
    <xf numFmtId="0" fontId="6" fillId="33" borderId="1" xfId="0" applyFont="1" applyFill="1" applyBorder="1"/>
    <xf numFmtId="0" fontId="6" fillId="33" borderId="5" xfId="0" applyFont="1" applyFill="1" applyBorder="1"/>
    <xf numFmtId="0" fontId="6" fillId="33" borderId="6" xfId="0" applyFont="1" applyFill="1" applyBorder="1"/>
    <xf numFmtId="0" fontId="6" fillId="33" borderId="3" xfId="0" applyFont="1" applyFill="1" applyBorder="1" applyAlignment="1">
      <alignment horizontal="center"/>
    </xf>
    <xf numFmtId="0" fontId="6" fillId="33" borderId="2" xfId="0" applyFont="1" applyFill="1" applyBorder="1"/>
    <xf numFmtId="0" fontId="6" fillId="33" borderId="0" xfId="0" applyFont="1" applyFill="1"/>
    <xf numFmtId="0" fontId="6" fillId="0" borderId="0" xfId="0" applyFont="1" applyProtection="1">
      <protection locked="0"/>
    </xf>
    <xf numFmtId="0" fontId="6" fillId="33" borderId="8" xfId="0" applyFont="1" applyFill="1" applyBorder="1"/>
    <xf numFmtId="0" fontId="6" fillId="33" borderId="9" xfId="0" applyFont="1" applyFill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15" fillId="0" borderId="0" xfId="0" applyFont="1"/>
    <xf numFmtId="0" fontId="6" fillId="34" borderId="7" xfId="0" applyFont="1" applyFill="1" applyBorder="1"/>
    <xf numFmtId="0" fontId="6" fillId="32" borderId="7" xfId="0" applyFont="1" applyFill="1" applyBorder="1"/>
    <xf numFmtId="0" fontId="6" fillId="33" borderId="7" xfId="0" applyFont="1" applyFill="1" applyBorder="1"/>
    <xf numFmtId="1" fontId="6" fillId="0" borderId="0" xfId="0" applyNumberFormat="1" applyFont="1" applyAlignment="1">
      <alignment horizontal="center"/>
    </xf>
    <xf numFmtId="0" fontId="23" fillId="0" borderId="1" xfId="0" applyFont="1" applyBorder="1"/>
    <xf numFmtId="0" fontId="0" fillId="35" borderId="0" xfId="0" applyFill="1"/>
    <xf numFmtId="168" fontId="8" fillId="5" borderId="0" xfId="0" applyNumberFormat="1" applyFont="1" applyFill="1" applyAlignment="1">
      <alignment horizontal="right"/>
    </xf>
    <xf numFmtId="168" fontId="8" fillId="7" borderId="0" xfId="0" applyNumberFormat="1" applyFont="1" applyFill="1" applyAlignment="1">
      <alignment horizontal="right"/>
    </xf>
    <xf numFmtId="168" fontId="8" fillId="9" borderId="0" xfId="0" applyNumberFormat="1" applyFont="1" applyFill="1" applyAlignment="1">
      <alignment horizontal="right"/>
    </xf>
    <xf numFmtId="168" fontId="8" fillId="19" borderId="0" xfId="0" applyNumberFormat="1" applyFont="1" applyFill="1" applyAlignment="1">
      <alignment horizontal="right"/>
    </xf>
    <xf numFmtId="168" fontId="8" fillId="23" borderId="0" xfId="0" applyNumberFormat="1" applyFont="1" applyFill="1" applyAlignment="1">
      <alignment horizontal="right"/>
    </xf>
    <xf numFmtId="168" fontId="8" fillId="28" borderId="0" xfId="0" applyNumberFormat="1" applyFont="1" applyFill="1" applyAlignment="1">
      <alignment horizontal="right"/>
    </xf>
    <xf numFmtId="168" fontId="8" fillId="30" borderId="0" xfId="0" applyNumberFormat="1" applyFont="1" applyFill="1" applyAlignment="1">
      <alignment horizontal="right"/>
    </xf>
    <xf numFmtId="0" fontId="8" fillId="36" borderId="0" xfId="0" applyFont="1" applyFill="1"/>
    <xf numFmtId="0" fontId="11" fillId="10" borderId="0" xfId="0" applyFont="1" applyFill="1" applyAlignment="1">
      <alignment horizontal="right"/>
    </xf>
    <xf numFmtId="168" fontId="8" fillId="11" borderId="0" xfId="0" applyNumberFormat="1" applyFont="1" applyFill="1" applyAlignment="1">
      <alignment horizontal="right"/>
    </xf>
    <xf numFmtId="0" fontId="8" fillId="11" borderId="0" xfId="0" applyFont="1" applyFill="1" applyAlignment="1">
      <alignment horizontal="right"/>
    </xf>
    <xf numFmtId="0" fontId="8" fillId="11" borderId="0" xfId="0" applyFont="1" applyFill="1" applyAlignment="1">
      <alignment horizontal="center"/>
    </xf>
    <xf numFmtId="0" fontId="8" fillId="11" borderId="0" xfId="0" applyFont="1" applyFill="1" applyAlignment="1">
      <alignment horizontal="left"/>
    </xf>
    <xf numFmtId="0" fontId="12" fillId="11" borderId="0" xfId="0" applyFont="1" applyFill="1" applyAlignment="1">
      <alignment horizontal="left"/>
    </xf>
    <xf numFmtId="0" fontId="25" fillId="0" borderId="0" xfId="0" applyFont="1" applyAlignment="1" applyProtection="1">
      <alignment horizontal="left"/>
      <protection locked="0"/>
    </xf>
    <xf numFmtId="0" fontId="13" fillId="18" borderId="0" xfId="0" applyFont="1" applyFill="1" applyAlignment="1">
      <alignment horizontal="right"/>
    </xf>
    <xf numFmtId="0" fontId="21" fillId="37" borderId="0" xfId="0" applyFont="1" applyFill="1" applyAlignment="1">
      <alignment horizontal="left"/>
    </xf>
    <xf numFmtId="0" fontId="21" fillId="37" borderId="0" xfId="0" applyFont="1" applyFill="1"/>
    <xf numFmtId="0" fontId="21" fillId="38" borderId="0" xfId="0" applyFont="1" applyFill="1" applyAlignment="1">
      <alignment horizontal="left"/>
    </xf>
    <xf numFmtId="0" fontId="21" fillId="38" borderId="0" xfId="0" applyFont="1" applyFill="1"/>
    <xf numFmtId="0" fontId="21" fillId="39" borderId="0" xfId="0" applyFont="1" applyFill="1" applyAlignment="1">
      <alignment horizontal="left"/>
    </xf>
    <xf numFmtId="0" fontId="21" fillId="39" borderId="0" xfId="0" applyFont="1" applyFill="1"/>
    <xf numFmtId="0" fontId="21" fillId="40" borderId="0" xfId="0" applyFont="1" applyFill="1" applyAlignment="1">
      <alignment horizontal="left"/>
    </xf>
    <xf numFmtId="0" fontId="21" fillId="40" borderId="0" xfId="0" applyFont="1" applyFill="1"/>
    <xf numFmtId="0" fontId="26" fillId="41" borderId="0" xfId="0" applyFont="1" applyFill="1" applyAlignment="1">
      <alignment horizontal="left"/>
    </xf>
    <xf numFmtId="0" fontId="26" fillId="41" borderId="0" xfId="0" applyFont="1" applyFill="1"/>
    <xf numFmtId="0" fontId="21" fillId="42" borderId="0" xfId="0" applyFont="1" applyFill="1" applyAlignment="1">
      <alignment horizontal="left"/>
    </xf>
    <xf numFmtId="0" fontId="21" fillId="42" borderId="0" xfId="0" applyFont="1" applyFill="1"/>
    <xf numFmtId="0" fontId="21" fillId="43" borderId="0" xfId="0" applyFont="1" applyFill="1" applyAlignment="1">
      <alignment horizontal="left"/>
    </xf>
    <xf numFmtId="0" fontId="21" fillId="43" borderId="0" xfId="0" applyFont="1" applyFill="1"/>
    <xf numFmtId="0" fontId="26" fillId="44" borderId="0" xfId="0" applyFont="1" applyFill="1" applyAlignment="1">
      <alignment horizontal="left"/>
    </xf>
    <xf numFmtId="0" fontId="26" fillId="44" borderId="0" xfId="0" applyFont="1" applyFill="1"/>
    <xf numFmtId="0" fontId="7" fillId="45" borderId="0" xfId="0" applyFont="1" applyFill="1"/>
    <xf numFmtId="2" fontId="0" fillId="0" borderId="0" xfId="0" applyNumberFormat="1" applyAlignment="1">
      <alignment horizontal="right"/>
    </xf>
    <xf numFmtId="164" fontId="0" fillId="0" borderId="0" xfId="0" applyNumberFormat="1" applyAlignment="1">
      <alignment horizontal="left"/>
    </xf>
    <xf numFmtId="164" fontId="27" fillId="46" borderId="4" xfId="0" applyNumberFormat="1" applyFont="1" applyFill="1" applyBorder="1" applyAlignment="1">
      <alignment horizontal="left" vertical="center" wrapText="1"/>
    </xf>
    <xf numFmtId="164" fontId="27" fillId="46" borderId="7" xfId="0" applyNumberFormat="1" applyFont="1" applyFill="1" applyBorder="1" applyAlignment="1">
      <alignment horizontal="left" vertical="center" wrapText="1"/>
    </xf>
    <xf numFmtId="164" fontId="27" fillId="46" borderId="11" xfId="0" applyNumberFormat="1" applyFont="1" applyFill="1" applyBorder="1" applyAlignment="1">
      <alignment horizontal="left" vertical="center" wrapText="1"/>
    </xf>
    <xf numFmtId="0" fontId="0" fillId="47" borderId="4" xfId="0" applyFill="1" applyBorder="1" applyAlignment="1">
      <alignment horizontal="center"/>
    </xf>
    <xf numFmtId="0" fontId="0" fillId="47" borderId="7" xfId="0" applyFill="1" applyBorder="1" applyAlignment="1">
      <alignment horizontal="center"/>
    </xf>
    <xf numFmtId="0" fontId="0" fillId="47" borderId="11" xfId="0" applyFill="1" applyBorder="1" applyAlignment="1">
      <alignment horizontal="center"/>
    </xf>
    <xf numFmtId="0" fontId="0" fillId="32" borderId="4" xfId="0" applyFill="1" applyBorder="1" applyAlignment="1">
      <alignment horizontal="center"/>
    </xf>
    <xf numFmtId="0" fontId="0" fillId="32" borderId="7" xfId="0" applyFill="1" applyBorder="1" applyAlignment="1">
      <alignment horizontal="center"/>
    </xf>
    <xf numFmtId="0" fontId="0" fillId="32" borderId="11" xfId="0" applyFill="1" applyBorder="1" applyAlignment="1">
      <alignment horizontal="center"/>
    </xf>
    <xf numFmtId="0" fontId="1" fillId="0" borderId="0" xfId="0" applyFont="1" applyAlignment="1">
      <alignment horizontal="center"/>
    </xf>
    <xf numFmtId="0" fontId="28" fillId="0" borderId="0" xfId="3" applyFont="1"/>
    <xf numFmtId="0" fontId="29" fillId="33" borderId="12" xfId="0" applyFont="1" applyFill="1" applyBorder="1" applyAlignment="1">
      <alignment horizontal="center"/>
    </xf>
    <xf numFmtId="0" fontId="14" fillId="33" borderId="14" xfId="0" applyFont="1" applyFill="1" applyBorder="1"/>
    <xf numFmtId="0" fontId="14" fillId="33" borderId="13" xfId="0" applyFont="1" applyFill="1" applyBorder="1"/>
    <xf numFmtId="0" fontId="14" fillId="33" borderId="7" xfId="0" applyFont="1" applyFill="1" applyBorder="1" applyProtection="1">
      <protection locked="0"/>
    </xf>
    <xf numFmtId="0" fontId="14" fillId="33" borderId="11" xfId="0" applyFont="1" applyFill="1" applyBorder="1" applyProtection="1">
      <protection locked="0"/>
    </xf>
    <xf numFmtId="0" fontId="9" fillId="48" borderId="1" xfId="0" applyFont="1" applyFill="1" applyBorder="1" applyAlignment="1">
      <alignment horizontal="right"/>
    </xf>
    <xf numFmtId="0" fontId="9" fillId="48" borderId="2" xfId="0" applyFont="1" applyFill="1" applyBorder="1" applyAlignment="1">
      <alignment horizontal="right"/>
    </xf>
    <xf numFmtId="0" fontId="9" fillId="48" borderId="8" xfId="0" applyFont="1" applyFill="1" applyBorder="1" applyAlignment="1">
      <alignment horizontal="right"/>
    </xf>
    <xf numFmtId="0" fontId="9" fillId="48" borderId="2" xfId="1" applyFont="1" applyFill="1" applyBorder="1" applyAlignment="1">
      <alignment horizontal="right"/>
    </xf>
    <xf numFmtId="0" fontId="9" fillId="48" borderId="2" xfId="2" applyFont="1" applyFill="1" applyBorder="1" applyAlignment="1">
      <alignment horizontal="right"/>
    </xf>
    <xf numFmtId="0" fontId="9" fillId="48" borderId="6" xfId="0" applyFont="1" applyFill="1" applyBorder="1" applyAlignment="1">
      <alignment horizontal="left"/>
    </xf>
    <xf numFmtId="0" fontId="9" fillId="48" borderId="3" xfId="0" applyFont="1" applyFill="1" applyBorder="1" applyAlignment="1">
      <alignment horizontal="left"/>
    </xf>
    <xf numFmtId="0" fontId="9" fillId="48" borderId="10" xfId="0" applyFont="1" applyFill="1" applyBorder="1" applyAlignment="1">
      <alignment horizontal="left"/>
    </xf>
    <xf numFmtId="0" fontId="9" fillId="48" borderId="3" xfId="2" applyFont="1" applyFill="1" applyBorder="1" applyAlignment="1">
      <alignment horizontal="left"/>
    </xf>
    <xf numFmtId="0" fontId="9" fillId="48" borderId="3" xfId="1" applyFont="1" applyFill="1" applyBorder="1" applyAlignment="1">
      <alignment horizontal="left"/>
    </xf>
    <xf numFmtId="0" fontId="9" fillId="48" borderId="1" xfId="1" applyFont="1" applyFill="1" applyBorder="1" applyAlignment="1">
      <alignment horizontal="right"/>
    </xf>
    <xf numFmtId="0" fontId="9" fillId="48" borderId="6" xfId="2" applyFont="1" applyFill="1" applyBorder="1" applyAlignment="1">
      <alignment horizontal="left"/>
    </xf>
    <xf numFmtId="0" fontId="9" fillId="48" borderId="1" xfId="2" applyFont="1" applyFill="1" applyBorder="1" applyAlignment="1">
      <alignment horizontal="right"/>
    </xf>
    <xf numFmtId="0" fontId="9" fillId="48" borderId="6" xfId="1" applyFont="1" applyFill="1" applyBorder="1" applyAlignment="1">
      <alignment horizontal="left"/>
    </xf>
    <xf numFmtId="0" fontId="7" fillId="49" borderId="0" xfId="0" applyFont="1" applyFill="1"/>
    <xf numFmtId="1" fontId="30" fillId="0" borderId="0" xfId="0" applyNumberFormat="1" applyFont="1" applyAlignment="1" applyProtection="1">
      <alignment horizontal="left"/>
      <protection locked="0"/>
    </xf>
    <xf numFmtId="0" fontId="11" fillId="45" borderId="0" xfId="0" applyFont="1" applyFill="1" applyAlignment="1">
      <alignment horizontal="right"/>
    </xf>
    <xf numFmtId="0" fontId="21" fillId="50" borderId="0" xfId="0" applyFont="1" applyFill="1" applyAlignment="1">
      <alignment horizontal="left"/>
    </xf>
    <xf numFmtId="0" fontId="21" fillId="50" borderId="0" xfId="0" applyFont="1" applyFill="1"/>
    <xf numFmtId="168" fontId="8" fillId="17" borderId="0" xfId="0" applyNumberFormat="1" applyFont="1" applyFill="1" applyAlignment="1">
      <alignment horizontal="right"/>
    </xf>
    <xf numFmtId="0" fontId="8" fillId="17" borderId="0" xfId="0" applyFont="1" applyFill="1" applyAlignment="1">
      <alignment horizontal="right"/>
    </xf>
    <xf numFmtId="0" fontId="8" fillId="17" borderId="0" xfId="0" applyFont="1" applyFill="1" applyAlignment="1">
      <alignment horizontal="center"/>
    </xf>
    <xf numFmtId="0" fontId="8" fillId="17" borderId="0" xfId="0" applyFont="1" applyFill="1" applyAlignment="1">
      <alignment horizontal="left"/>
    </xf>
    <xf numFmtId="0" fontId="12" fillId="17" borderId="0" xfId="0" applyFont="1" applyFill="1" applyAlignment="1">
      <alignment horizontal="left"/>
    </xf>
    <xf numFmtId="0" fontId="7" fillId="35" borderId="0" xfId="0" applyFont="1" applyFill="1"/>
    <xf numFmtId="0" fontId="31" fillId="4" borderId="0" xfId="0" applyFont="1" applyFill="1"/>
    <xf numFmtId="0" fontId="26" fillId="5" borderId="0" xfId="0" applyFont="1" applyFill="1"/>
    <xf numFmtId="169" fontId="8" fillId="5" borderId="0" xfId="0" applyNumberFormat="1" applyFont="1" applyFill="1" applyAlignment="1">
      <alignment horizontal="right"/>
    </xf>
    <xf numFmtId="0" fontId="26" fillId="5" borderId="0" xfId="0" applyFont="1" applyFill="1" applyAlignment="1">
      <alignment horizontal="left"/>
    </xf>
    <xf numFmtId="0" fontId="26" fillId="5" borderId="0" xfId="0" applyFont="1" applyFill="1" applyAlignment="1">
      <alignment horizontal="right"/>
    </xf>
    <xf numFmtId="0" fontId="31" fillId="6" borderId="0" xfId="0" applyFont="1" applyFill="1"/>
    <xf numFmtId="0" fontId="26" fillId="7" borderId="0" xfId="0" applyFont="1" applyFill="1"/>
    <xf numFmtId="169" fontId="8" fillId="7" borderId="0" xfId="0" applyNumberFormat="1" applyFont="1" applyFill="1" applyAlignment="1">
      <alignment horizontal="right"/>
    </xf>
    <xf numFmtId="0" fontId="26" fillId="7" borderId="0" xfId="0" applyFont="1" applyFill="1" applyAlignment="1">
      <alignment horizontal="left"/>
    </xf>
    <xf numFmtId="0" fontId="26" fillId="7" borderId="0" xfId="0" applyFont="1" applyFill="1" applyAlignment="1">
      <alignment horizontal="right"/>
    </xf>
    <xf numFmtId="169" fontId="8" fillId="7" borderId="0" xfId="0" applyNumberFormat="1" applyFont="1" applyFill="1"/>
    <xf numFmtId="0" fontId="31" fillId="10" borderId="0" xfId="0" applyFont="1" applyFill="1"/>
    <xf numFmtId="0" fontId="26" fillId="11" borderId="0" xfId="0" applyFont="1" applyFill="1"/>
    <xf numFmtId="169" fontId="8" fillId="11" borderId="0" xfId="0" applyNumberFormat="1" applyFont="1" applyFill="1" applyAlignment="1">
      <alignment horizontal="right"/>
    </xf>
    <xf numFmtId="0" fontId="26" fillId="11" borderId="0" xfId="0" applyFont="1" applyFill="1" applyAlignment="1">
      <alignment horizontal="left"/>
    </xf>
    <xf numFmtId="0" fontId="26" fillId="11" borderId="0" xfId="0" applyFont="1" applyFill="1" applyAlignment="1">
      <alignment horizontal="right"/>
    </xf>
    <xf numFmtId="169" fontId="8" fillId="11" borderId="0" xfId="0" applyNumberFormat="1" applyFont="1" applyFill="1"/>
    <xf numFmtId="0" fontId="31" fillId="14" borderId="0" xfId="0" applyFont="1" applyFill="1"/>
    <xf numFmtId="0" fontId="26" fillId="15" borderId="0" xfId="0" applyFont="1" applyFill="1"/>
    <xf numFmtId="0" fontId="8" fillId="15" borderId="0" xfId="0" applyFont="1" applyFill="1" applyAlignment="1">
      <alignment horizontal="right"/>
    </xf>
    <xf numFmtId="0" fontId="8" fillId="15" borderId="0" xfId="0" applyFont="1" applyFill="1" applyAlignment="1">
      <alignment horizontal="left"/>
    </xf>
    <xf numFmtId="169" fontId="8" fillId="15" borderId="0" xfId="0" applyNumberFormat="1" applyFont="1" applyFill="1" applyAlignment="1">
      <alignment horizontal="right"/>
    </xf>
    <xf numFmtId="0" fontId="26" fillId="15" borderId="0" xfId="0" applyFont="1" applyFill="1" applyAlignment="1">
      <alignment horizontal="left"/>
    </xf>
    <xf numFmtId="0" fontId="26" fillId="15" borderId="0" xfId="0" applyFont="1" applyFill="1" applyAlignment="1">
      <alignment horizontal="right"/>
    </xf>
    <xf numFmtId="169" fontId="8" fillId="15" borderId="0" xfId="0" applyNumberFormat="1" applyFont="1" applyFill="1"/>
    <xf numFmtId="0" fontId="31" fillId="16" borderId="0" xfId="0" applyFont="1" applyFill="1"/>
    <xf numFmtId="0" fontId="26" fillId="17" borderId="0" xfId="0" applyFont="1" applyFill="1"/>
    <xf numFmtId="169" fontId="8" fillId="17" borderId="0" xfId="0" applyNumberFormat="1" applyFont="1" applyFill="1" applyAlignment="1">
      <alignment horizontal="right"/>
    </xf>
    <xf numFmtId="0" fontId="26" fillId="17" borderId="0" xfId="0" applyFont="1" applyFill="1" applyAlignment="1">
      <alignment horizontal="left"/>
    </xf>
    <xf numFmtId="0" fontId="26" fillId="17" borderId="0" xfId="0" applyFont="1" applyFill="1" applyAlignment="1">
      <alignment horizontal="right"/>
    </xf>
    <xf numFmtId="169" fontId="8" fillId="17" borderId="0" xfId="0" applyNumberFormat="1" applyFont="1" applyFill="1"/>
    <xf numFmtId="0" fontId="32" fillId="18" borderId="0" xfId="0" applyFont="1" applyFill="1"/>
    <xf numFmtId="0" fontId="26" fillId="19" borderId="0" xfId="0" applyFont="1" applyFill="1"/>
    <xf numFmtId="169" fontId="8" fillId="19" borderId="0" xfId="0" applyNumberFormat="1" applyFont="1" applyFill="1" applyAlignment="1">
      <alignment horizontal="right"/>
    </xf>
    <xf numFmtId="0" fontId="26" fillId="19" borderId="0" xfId="0" applyFont="1" applyFill="1" applyAlignment="1">
      <alignment horizontal="left"/>
    </xf>
    <xf numFmtId="0" fontId="26" fillId="19" borderId="0" xfId="0" applyFont="1" applyFill="1" applyAlignment="1">
      <alignment horizontal="right"/>
    </xf>
    <xf numFmtId="169" fontId="8" fillId="19" borderId="0" xfId="0" applyNumberFormat="1" applyFont="1" applyFill="1"/>
    <xf numFmtId="0" fontId="31" fillId="20" borderId="0" xfId="0" applyFont="1" applyFill="1"/>
    <xf numFmtId="0" fontId="26" fillId="21" borderId="0" xfId="0" applyFont="1" applyFill="1"/>
    <xf numFmtId="0" fontId="8" fillId="21" borderId="0" xfId="0" applyFont="1" applyFill="1" applyAlignment="1">
      <alignment horizontal="right"/>
    </xf>
    <xf numFmtId="0" fontId="8" fillId="21" borderId="0" xfId="0" applyFont="1" applyFill="1" applyAlignment="1">
      <alignment horizontal="left"/>
    </xf>
    <xf numFmtId="169" fontId="8" fillId="21" borderId="0" xfId="0" applyNumberFormat="1" applyFont="1" applyFill="1" applyAlignment="1">
      <alignment horizontal="right"/>
    </xf>
    <xf numFmtId="0" fontId="26" fillId="21" borderId="0" xfId="0" applyFont="1" applyFill="1" applyAlignment="1">
      <alignment horizontal="left"/>
    </xf>
    <xf numFmtId="0" fontId="26" fillId="21" borderId="0" xfId="0" applyFont="1" applyFill="1" applyAlignment="1">
      <alignment horizontal="right"/>
    </xf>
    <xf numFmtId="169" fontId="8" fillId="21" borderId="0" xfId="0" applyNumberFormat="1" applyFont="1" applyFill="1"/>
    <xf numFmtId="0" fontId="31" fillId="22" borderId="0" xfId="0" applyFont="1" applyFill="1"/>
    <xf numFmtId="0" fontId="26" fillId="23" borderId="0" xfId="0" applyFont="1" applyFill="1"/>
    <xf numFmtId="169" fontId="8" fillId="23" borderId="0" xfId="0" applyNumberFormat="1" applyFont="1" applyFill="1" applyAlignment="1">
      <alignment horizontal="right"/>
    </xf>
    <xf numFmtId="0" fontId="26" fillId="23" borderId="0" xfId="0" applyFont="1" applyFill="1" applyAlignment="1">
      <alignment horizontal="left"/>
    </xf>
    <xf numFmtId="0" fontId="26" fillId="23" borderId="0" xfId="0" applyFont="1" applyFill="1" applyAlignment="1">
      <alignment horizontal="right"/>
    </xf>
    <xf numFmtId="169" fontId="8" fillId="23" borderId="0" xfId="0" applyNumberFormat="1" applyFont="1" applyFill="1"/>
    <xf numFmtId="0" fontId="31" fillId="49" borderId="0" xfId="0" applyFont="1" applyFill="1"/>
    <xf numFmtId="0" fontId="31" fillId="25" borderId="0" xfId="0" applyFont="1" applyFill="1"/>
    <xf numFmtId="0" fontId="26" fillId="26" borderId="0" xfId="0" applyFont="1" applyFill="1"/>
    <xf numFmtId="169" fontId="8" fillId="26" borderId="0" xfId="0" applyNumberFormat="1" applyFont="1" applyFill="1" applyAlignment="1">
      <alignment horizontal="right"/>
    </xf>
    <xf numFmtId="0" fontId="26" fillId="26" borderId="0" xfId="0" applyFont="1" applyFill="1" applyAlignment="1">
      <alignment horizontal="left"/>
    </xf>
    <xf numFmtId="0" fontId="26" fillId="26" borderId="0" xfId="0" applyFont="1" applyFill="1" applyAlignment="1">
      <alignment horizontal="right"/>
    </xf>
    <xf numFmtId="169" fontId="8" fillId="26" borderId="0" xfId="0" applyNumberFormat="1" applyFont="1" applyFill="1"/>
    <xf numFmtId="0" fontId="31" fillId="27" borderId="0" xfId="0" applyFont="1" applyFill="1"/>
    <xf numFmtId="0" fontId="26" fillId="28" borderId="0" xfId="0" applyFont="1" applyFill="1"/>
    <xf numFmtId="169" fontId="8" fillId="28" borderId="0" xfId="0" applyNumberFormat="1" applyFont="1" applyFill="1" applyAlignment="1">
      <alignment horizontal="right"/>
    </xf>
    <xf numFmtId="0" fontId="26" fillId="28" borderId="0" xfId="0" applyFont="1" applyFill="1" applyAlignment="1">
      <alignment horizontal="left"/>
    </xf>
    <xf numFmtId="0" fontId="26" fillId="28" borderId="0" xfId="0" applyFont="1" applyFill="1" applyAlignment="1">
      <alignment horizontal="right"/>
    </xf>
    <xf numFmtId="169" fontId="8" fillId="28" borderId="0" xfId="0" applyNumberFormat="1" applyFont="1" applyFill="1"/>
    <xf numFmtId="0" fontId="32" fillId="29" borderId="0" xfId="0" applyFont="1" applyFill="1"/>
    <xf numFmtId="0" fontId="26" fillId="30" borderId="0" xfId="0" applyFont="1" applyFill="1"/>
    <xf numFmtId="169" fontId="8" fillId="30" borderId="0" xfId="0" applyNumberFormat="1" applyFont="1" applyFill="1" applyAlignment="1">
      <alignment horizontal="right"/>
    </xf>
    <xf numFmtId="0" fontId="26" fillId="30" borderId="0" xfId="0" applyFont="1" applyFill="1" applyAlignment="1">
      <alignment horizontal="left"/>
    </xf>
    <xf numFmtId="0" fontId="26" fillId="30" borderId="0" xfId="0" applyFont="1" applyFill="1" applyAlignment="1">
      <alignment horizontal="right"/>
    </xf>
    <xf numFmtId="169" fontId="8" fillId="30" borderId="0" xfId="0" applyNumberFormat="1" applyFont="1" applyFill="1"/>
    <xf numFmtId="0" fontId="33" fillId="0" borderId="0" xfId="0" applyFont="1"/>
    <xf numFmtId="165" fontId="23" fillId="0" borderId="5" xfId="0" applyNumberFormat="1" applyFont="1" applyBorder="1" applyAlignment="1">
      <alignment horizontal="right"/>
    </xf>
    <xf numFmtId="165" fontId="23" fillId="0" borderId="6" xfId="0" applyNumberFormat="1" applyFont="1" applyBorder="1"/>
    <xf numFmtId="0" fontId="23" fillId="0" borderId="0" xfId="0" applyFont="1"/>
    <xf numFmtId="1" fontId="34" fillId="0" borderId="0" xfId="0" applyNumberFormat="1" applyFont="1"/>
    <xf numFmtId="166" fontId="23" fillId="33" borderId="7" xfId="0" applyNumberFormat="1" applyFont="1" applyFill="1" applyBorder="1"/>
    <xf numFmtId="165" fontId="34" fillId="33" borderId="7" xfId="0" applyNumberFormat="1" applyFont="1" applyFill="1" applyBorder="1" applyAlignment="1">
      <alignment horizontal="center"/>
    </xf>
    <xf numFmtId="1" fontId="0" fillId="51" borderId="1" xfId="0" applyNumberFormat="1" applyFill="1" applyBorder="1" applyAlignment="1">
      <alignment horizontal="center"/>
    </xf>
    <xf numFmtId="1" fontId="0" fillId="51" borderId="2" xfId="0" applyNumberFormat="1" applyFill="1" applyBorder="1" applyAlignment="1">
      <alignment horizontal="center"/>
    </xf>
    <xf numFmtId="1" fontId="0" fillId="51" borderId="8" xfId="0" applyNumberFormat="1" applyFill="1" applyBorder="1" applyAlignment="1">
      <alignment horizontal="center"/>
    </xf>
    <xf numFmtId="0" fontId="12" fillId="5" borderId="0" xfId="0" applyFont="1" applyFill="1" applyAlignment="1">
      <alignment horizontal="right"/>
    </xf>
    <xf numFmtId="0" fontId="12" fillId="7" borderId="0" xfId="0" applyFont="1" applyFill="1" applyAlignment="1">
      <alignment horizontal="right"/>
    </xf>
    <xf numFmtId="0" fontId="12" fillId="9" borderId="0" xfId="0" applyFont="1" applyFill="1" applyAlignment="1">
      <alignment horizontal="right"/>
    </xf>
    <xf numFmtId="0" fontId="12" fillId="11" borderId="0" xfId="0" applyFont="1" applyFill="1" applyAlignment="1">
      <alignment horizontal="right"/>
    </xf>
    <xf numFmtId="0" fontId="12" fillId="17" borderId="0" xfId="0" applyFont="1" applyFill="1" applyAlignment="1">
      <alignment horizontal="right"/>
    </xf>
    <xf numFmtId="0" fontId="12" fillId="23" borderId="0" xfId="0" applyFont="1" applyFill="1" applyAlignment="1">
      <alignment horizontal="right"/>
    </xf>
    <xf numFmtId="0" fontId="12" fillId="19" borderId="0" xfId="0" applyFont="1" applyFill="1" applyAlignment="1">
      <alignment horizontal="right"/>
    </xf>
    <xf numFmtId="0" fontId="12" fillId="28" borderId="0" xfId="0" applyFont="1" applyFill="1" applyAlignment="1">
      <alignment horizontal="right"/>
    </xf>
    <xf numFmtId="0" fontId="12" fillId="30" borderId="0" xfId="0" applyFont="1" applyFill="1" applyAlignment="1">
      <alignment horizontal="right"/>
    </xf>
    <xf numFmtId="170" fontId="14" fillId="0" borderId="0" xfId="0" applyNumberFormat="1" applyFont="1"/>
    <xf numFmtId="169" fontId="26" fillId="5" borderId="0" xfId="0" applyNumberFormat="1" applyFont="1" applyFill="1"/>
    <xf numFmtId="1" fontId="6" fillId="33" borderId="0" xfId="0" applyNumberFormat="1" applyFont="1" applyFill="1" applyAlignment="1">
      <alignment horizontal="center"/>
    </xf>
    <xf numFmtId="0" fontId="8" fillId="5" borderId="0" xfId="0" applyFont="1" applyFill="1" applyAlignment="1">
      <alignment horizontal="right" indent="1"/>
    </xf>
    <xf numFmtId="1" fontId="8" fillId="5" borderId="0" xfId="0" applyNumberFormat="1" applyFont="1" applyFill="1" applyAlignment="1">
      <alignment horizontal="left"/>
    </xf>
    <xf numFmtId="0" fontId="8" fillId="5" borderId="0" xfId="0" applyFont="1" applyFill="1" applyAlignment="1">
      <alignment horizontal="left" indent="1"/>
    </xf>
    <xf numFmtId="169" fontId="8" fillId="5" borderId="0" xfId="0" applyNumberFormat="1" applyFont="1" applyFill="1" applyAlignment="1">
      <alignment horizontal="left"/>
    </xf>
    <xf numFmtId="169" fontId="8" fillId="7" borderId="0" xfId="0" applyNumberFormat="1" applyFont="1" applyFill="1" applyAlignment="1">
      <alignment horizontal="left"/>
    </xf>
    <xf numFmtId="169" fontId="8" fillId="11" borderId="0" xfId="0" applyNumberFormat="1" applyFont="1" applyFill="1" applyAlignment="1">
      <alignment horizontal="left"/>
    </xf>
    <xf numFmtId="169" fontId="8" fillId="15" borderId="0" xfId="0" applyNumberFormat="1" applyFont="1" applyFill="1" applyAlignment="1">
      <alignment horizontal="left"/>
    </xf>
    <xf numFmtId="169" fontId="8" fillId="17" borderId="0" xfId="0" applyNumberFormat="1" applyFont="1" applyFill="1" applyAlignment="1">
      <alignment horizontal="left"/>
    </xf>
    <xf numFmtId="169" fontId="8" fillId="19" borderId="0" xfId="0" applyNumberFormat="1" applyFont="1" applyFill="1" applyAlignment="1">
      <alignment horizontal="left"/>
    </xf>
    <xf numFmtId="169" fontId="8" fillId="21" borderId="0" xfId="0" applyNumberFormat="1" applyFont="1" applyFill="1" applyAlignment="1">
      <alignment horizontal="left"/>
    </xf>
    <xf numFmtId="169" fontId="8" fillId="23" borderId="0" xfId="0" applyNumberFormat="1" applyFont="1" applyFill="1" applyAlignment="1">
      <alignment horizontal="left"/>
    </xf>
    <xf numFmtId="169" fontId="8" fillId="26" borderId="0" xfId="0" applyNumberFormat="1" applyFont="1" applyFill="1" applyAlignment="1">
      <alignment horizontal="left"/>
    </xf>
    <xf numFmtId="169" fontId="8" fillId="28" borderId="0" xfId="0" applyNumberFormat="1" applyFont="1" applyFill="1" applyAlignment="1">
      <alignment horizontal="left"/>
    </xf>
    <xf numFmtId="169" fontId="8" fillId="30" borderId="0" xfId="0" applyNumberFormat="1" applyFont="1" applyFill="1" applyAlignment="1">
      <alignment horizontal="left"/>
    </xf>
    <xf numFmtId="0" fontId="22" fillId="0" borderId="0" xfId="0" applyFont="1" applyAlignment="1">
      <alignment horizontal="center" wrapText="1"/>
    </xf>
    <xf numFmtId="0" fontId="35" fillId="0" borderId="0" xfId="0" applyFont="1"/>
    <xf numFmtId="170" fontId="14" fillId="0" borderId="0" xfId="0" applyNumberFormat="1" applyFont="1" applyAlignment="1">
      <alignment horizontal="left"/>
    </xf>
    <xf numFmtId="0" fontId="35" fillId="0" borderId="0" xfId="0" applyFont="1" applyAlignment="1">
      <alignment horizontal="left"/>
    </xf>
    <xf numFmtId="170" fontId="8" fillId="5" borderId="0" xfId="0" applyNumberFormat="1" applyFont="1" applyFill="1"/>
    <xf numFmtId="0" fontId="35" fillId="0" borderId="0" xfId="0" applyFont="1" applyAlignment="1">
      <alignment horizontal="right"/>
    </xf>
    <xf numFmtId="170" fontId="35" fillId="0" borderId="0" xfId="0" applyNumberFormat="1" applyFont="1"/>
    <xf numFmtId="166" fontId="9" fillId="33" borderId="6" xfId="0" applyNumberFormat="1" applyFont="1" applyFill="1" applyBorder="1" applyAlignment="1">
      <alignment horizontal="center"/>
    </xf>
    <xf numFmtId="166" fontId="9" fillId="33" borderId="3" xfId="0" applyNumberFormat="1" applyFont="1" applyFill="1" applyBorder="1" applyAlignment="1">
      <alignment horizontal="center"/>
    </xf>
    <xf numFmtId="166" fontId="9" fillId="33" borderId="10" xfId="0" applyNumberFormat="1" applyFont="1" applyFill="1" applyBorder="1" applyAlignment="1">
      <alignment horizontal="center"/>
    </xf>
    <xf numFmtId="166" fontId="0" fillId="0" borderId="0" xfId="0" applyNumberFormat="1" applyAlignment="1">
      <alignment horizontal="center"/>
    </xf>
    <xf numFmtId="166" fontId="9" fillId="0" borderId="0" xfId="0" applyNumberFormat="1" applyFont="1" applyAlignment="1">
      <alignment horizontal="center"/>
    </xf>
    <xf numFmtId="166" fontId="0" fillId="33" borderId="4" xfId="0" applyNumberFormat="1" applyFill="1" applyBorder="1" applyAlignment="1">
      <alignment horizontal="center"/>
    </xf>
    <xf numFmtId="166" fontId="0" fillId="33" borderId="7" xfId="0" applyNumberFormat="1" applyFill="1" applyBorder="1" applyAlignment="1">
      <alignment horizontal="center"/>
    </xf>
    <xf numFmtId="166" fontId="0" fillId="33" borderId="11" xfId="0" applyNumberFormat="1" applyFill="1" applyBorder="1" applyAlignment="1">
      <alignment horizontal="center"/>
    </xf>
    <xf numFmtId="166" fontId="34" fillId="33" borderId="4" xfId="0" applyNumberFormat="1" applyFont="1" applyFill="1" applyBorder="1" applyAlignment="1">
      <alignment horizontal="center"/>
    </xf>
    <xf numFmtId="166" fontId="9" fillId="33" borderId="4" xfId="0" applyNumberFormat="1" applyFont="1" applyFill="1" applyBorder="1" applyAlignment="1">
      <alignment horizontal="center"/>
    </xf>
    <xf numFmtId="166" fontId="9" fillId="33" borderId="7" xfId="0" applyNumberFormat="1" applyFont="1" applyFill="1" applyBorder="1" applyAlignment="1">
      <alignment horizontal="center"/>
    </xf>
    <xf numFmtId="166" fontId="9" fillId="33" borderId="11" xfId="0" applyNumberFormat="1" applyFont="1" applyFill="1" applyBorder="1" applyAlignment="1">
      <alignment horizontal="center"/>
    </xf>
    <xf numFmtId="0" fontId="24" fillId="0" borderId="0" xfId="0" applyFont="1"/>
    <xf numFmtId="0" fontId="35" fillId="0" borderId="0" xfId="0" quotePrefix="1" applyFont="1"/>
    <xf numFmtId="171" fontId="14" fillId="0" borderId="0" xfId="0" applyNumberFormat="1" applyFont="1"/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6" fillId="0" borderId="18" xfId="0" applyFont="1" applyBorder="1" applyAlignment="1">
      <alignment horizontal="right"/>
    </xf>
    <xf numFmtId="0" fontId="6" fillId="0" borderId="19" xfId="0" applyFont="1" applyBorder="1" applyAlignment="1">
      <alignment horizontal="right"/>
    </xf>
    <xf numFmtId="172" fontId="6" fillId="0" borderId="19" xfId="0" applyNumberFormat="1" applyFont="1" applyBorder="1" applyAlignment="1">
      <alignment horizontal="right"/>
    </xf>
    <xf numFmtId="0" fontId="6" fillId="0" borderId="20" xfId="0" applyFont="1" applyBorder="1" applyAlignment="1">
      <alignment horizontal="right"/>
    </xf>
    <xf numFmtId="172" fontId="6" fillId="0" borderId="21" xfId="0" applyNumberFormat="1" applyFont="1" applyBorder="1" applyAlignment="1">
      <alignment horizontal="right"/>
    </xf>
    <xf numFmtId="0" fontId="0" fillId="34" borderId="22" xfId="0" applyFill="1" applyBorder="1"/>
    <xf numFmtId="0" fontId="0" fillId="32" borderId="22" xfId="0" applyFill="1" applyBorder="1"/>
    <xf numFmtId="0" fontId="6" fillId="24" borderId="22" xfId="0" applyFont="1" applyFill="1" applyBorder="1"/>
    <xf numFmtId="0" fontId="6" fillId="24" borderId="7" xfId="0" applyFont="1" applyFill="1" applyBorder="1"/>
    <xf numFmtId="0" fontId="6" fillId="24" borderId="11" xfId="0" applyFont="1" applyFill="1" applyBorder="1"/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33" borderId="0" xfId="0" applyFont="1" applyFill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1" fillId="25" borderId="0" xfId="0" applyFont="1" applyFill="1" applyAlignment="1">
      <alignment horizontal="right"/>
    </xf>
    <xf numFmtId="0" fontId="21" fillId="52" borderId="0" xfId="0" applyFont="1" applyFill="1" applyAlignment="1">
      <alignment horizontal="left"/>
    </xf>
    <xf numFmtId="0" fontId="21" fillId="52" borderId="0" xfId="0" applyFont="1" applyFill="1"/>
    <xf numFmtId="168" fontId="8" fillId="26" borderId="0" xfId="0" applyNumberFormat="1" applyFont="1" applyFill="1" applyAlignment="1">
      <alignment horizontal="right"/>
    </xf>
    <xf numFmtId="0" fontId="8" fillId="26" borderId="0" xfId="0" applyFont="1" applyFill="1" applyAlignment="1">
      <alignment horizontal="center"/>
    </xf>
    <xf numFmtId="0" fontId="12" fillId="26" borderId="0" xfId="0" applyFont="1" applyFill="1" applyAlignment="1">
      <alignment horizontal="left"/>
    </xf>
    <xf numFmtId="0" fontId="12" fillId="26" borderId="0" xfId="0" applyFont="1" applyFill="1" applyAlignment="1">
      <alignment horizontal="right"/>
    </xf>
    <xf numFmtId="0" fontId="22" fillId="0" borderId="23" xfId="0" applyFont="1" applyBorder="1" applyAlignment="1">
      <alignment horizontal="center" wrapText="1"/>
    </xf>
    <xf numFmtId="2" fontId="23" fillId="51" borderId="4" xfId="0" applyNumberFormat="1" applyFont="1" applyFill="1" applyBorder="1" applyAlignment="1">
      <alignment horizontal="center"/>
    </xf>
    <xf numFmtId="164" fontId="23" fillId="46" borderId="1" xfId="0" applyNumberFormat="1" applyFont="1" applyFill="1" applyBorder="1" applyAlignment="1">
      <alignment horizontal="left"/>
    </xf>
    <xf numFmtId="166" fontId="23" fillId="33" borderId="4" xfId="0" applyNumberFormat="1" applyFont="1" applyFill="1" applyBorder="1" applyAlignment="1">
      <alignment horizontal="center"/>
    </xf>
    <xf numFmtId="166" fontId="34" fillId="33" borderId="6" xfId="0" applyNumberFormat="1" applyFont="1" applyFill="1" applyBorder="1" applyAlignment="1">
      <alignment horizontal="center"/>
    </xf>
    <xf numFmtId="0" fontId="23" fillId="32" borderId="4" xfId="0" applyFont="1" applyFill="1" applyBorder="1" applyAlignment="1">
      <alignment horizontal="center"/>
    </xf>
    <xf numFmtId="0" fontId="23" fillId="47" borderId="4" xfId="0" applyFont="1" applyFill="1" applyBorder="1" applyAlignment="1">
      <alignment horizontal="center"/>
    </xf>
    <xf numFmtId="0" fontId="34" fillId="48" borderId="4" xfId="0" applyFont="1" applyFill="1" applyBorder="1" applyAlignment="1">
      <alignment horizontal="right"/>
    </xf>
    <xf numFmtId="1" fontId="23" fillId="31" borderId="4" xfId="0" applyNumberFormat="1" applyFont="1" applyFill="1" applyBorder="1" applyAlignment="1" applyProtection="1">
      <alignment horizontal="center"/>
      <protection locked="0"/>
    </xf>
    <xf numFmtId="0" fontId="34" fillId="48" borderId="4" xfId="0" applyFont="1" applyFill="1" applyBorder="1" applyAlignment="1">
      <alignment horizontal="left"/>
    </xf>
    <xf numFmtId="0" fontId="34" fillId="33" borderId="4" xfId="0" applyFont="1" applyFill="1" applyBorder="1" applyAlignment="1">
      <alignment horizontal="center"/>
    </xf>
    <xf numFmtId="0" fontId="34" fillId="33" borderId="6" xfId="0" applyFont="1" applyFill="1" applyBorder="1" applyAlignment="1">
      <alignment horizontal="center"/>
    </xf>
    <xf numFmtId="0" fontId="37" fillId="33" borderId="2" xfId="0" applyFont="1" applyFill="1" applyBorder="1"/>
    <xf numFmtId="0" fontId="37" fillId="33" borderId="3" xfId="0" applyFont="1" applyFill="1" applyBorder="1"/>
    <xf numFmtId="0" fontId="37" fillId="33" borderId="8" xfId="0" applyFont="1" applyFill="1" applyBorder="1"/>
    <xf numFmtId="0" fontId="37" fillId="33" borderId="10" xfId="0" applyFont="1" applyFill="1" applyBorder="1"/>
    <xf numFmtId="0" fontId="8" fillId="53" borderId="0" xfId="0" applyFont="1" applyFill="1"/>
    <xf numFmtId="0" fontId="26" fillId="53" borderId="0" xfId="0" applyFont="1" applyFill="1"/>
    <xf numFmtId="0" fontId="8" fillId="53" borderId="0" xfId="0" applyFont="1" applyFill="1" applyAlignment="1">
      <alignment horizontal="right"/>
    </xf>
    <xf numFmtId="0" fontId="8" fillId="53" borderId="0" xfId="0" applyFont="1" applyFill="1" applyAlignment="1">
      <alignment horizontal="left"/>
    </xf>
    <xf numFmtId="169" fontId="8" fillId="53" borderId="0" xfId="0" applyNumberFormat="1" applyFont="1" applyFill="1" applyAlignment="1">
      <alignment horizontal="right"/>
    </xf>
    <xf numFmtId="0" fontId="26" fillId="53" borderId="0" xfId="0" applyFont="1" applyFill="1" applyAlignment="1">
      <alignment horizontal="left"/>
    </xf>
    <xf numFmtId="0" fontId="26" fillId="53" borderId="0" xfId="0" applyFont="1" applyFill="1" applyAlignment="1">
      <alignment horizontal="right"/>
    </xf>
    <xf numFmtId="169" fontId="8" fillId="53" borderId="0" xfId="0" applyNumberFormat="1" applyFont="1" applyFill="1" applyAlignment="1">
      <alignment horizontal="left"/>
    </xf>
    <xf numFmtId="169" fontId="8" fillId="53" borderId="0" xfId="0" applyNumberFormat="1" applyFont="1" applyFill="1"/>
    <xf numFmtId="0" fontId="7" fillId="54" borderId="0" xfId="0" applyFont="1" applyFill="1"/>
    <xf numFmtId="0" fontId="7" fillId="55" borderId="0" xfId="0" applyFont="1" applyFill="1"/>
    <xf numFmtId="0" fontId="31" fillId="54" borderId="0" xfId="0" applyFont="1" applyFill="1"/>
    <xf numFmtId="0" fontId="32" fillId="13" borderId="0" xfId="0" applyFont="1" applyFill="1"/>
    <xf numFmtId="0" fontId="21" fillId="12" borderId="0" xfId="0" applyFont="1" applyFill="1"/>
    <xf numFmtId="0" fontId="7" fillId="12" borderId="0" xfId="0" applyFont="1" applyFill="1" applyAlignment="1">
      <alignment horizontal="right"/>
    </xf>
    <xf numFmtId="0" fontId="7" fillId="12" borderId="0" xfId="0" applyFont="1" applyFill="1" applyAlignment="1">
      <alignment horizontal="left"/>
    </xf>
    <xf numFmtId="169" fontId="7" fillId="12" borderId="0" xfId="0" applyNumberFormat="1" applyFont="1" applyFill="1" applyAlignment="1">
      <alignment horizontal="right"/>
    </xf>
    <xf numFmtId="0" fontId="21" fillId="12" borderId="0" xfId="0" applyFont="1" applyFill="1" applyAlignment="1">
      <alignment horizontal="left"/>
    </xf>
    <xf numFmtId="0" fontId="21" fillId="12" borderId="0" xfId="0" applyFont="1" applyFill="1" applyAlignment="1">
      <alignment horizontal="right"/>
    </xf>
    <xf numFmtId="169" fontId="7" fillId="12" borderId="0" xfId="0" applyNumberFormat="1" applyFont="1" applyFill="1" applyAlignment="1">
      <alignment horizontal="left"/>
    </xf>
    <xf numFmtId="169" fontId="7" fillId="12" borderId="0" xfId="0" applyNumberFormat="1" applyFont="1" applyFill="1"/>
    <xf numFmtId="0" fontId="21" fillId="55" borderId="0" xfId="0" applyFont="1" applyFill="1"/>
    <xf numFmtId="0" fontId="7" fillId="55" borderId="0" xfId="0" applyFont="1" applyFill="1" applyAlignment="1">
      <alignment horizontal="right"/>
    </xf>
    <xf numFmtId="0" fontId="7" fillId="55" borderId="0" xfId="0" applyFont="1" applyFill="1" applyAlignment="1">
      <alignment horizontal="left"/>
    </xf>
    <xf numFmtId="169" fontId="7" fillId="55" borderId="0" xfId="0" applyNumberFormat="1" applyFont="1" applyFill="1" applyAlignment="1">
      <alignment horizontal="right"/>
    </xf>
    <xf numFmtId="0" fontId="21" fillId="55" borderId="0" xfId="0" applyFont="1" applyFill="1" applyAlignment="1">
      <alignment horizontal="left"/>
    </xf>
    <xf numFmtId="0" fontId="21" fillId="55" borderId="0" xfId="0" applyFont="1" applyFill="1" applyAlignment="1">
      <alignment horizontal="right"/>
    </xf>
    <xf numFmtId="169" fontId="7" fillId="55" borderId="0" xfId="0" applyNumberFormat="1" applyFont="1" applyFill="1" applyAlignment="1">
      <alignment horizontal="left"/>
    </xf>
    <xf numFmtId="169" fontId="7" fillId="55" borderId="0" xfId="0" applyNumberFormat="1" applyFont="1" applyFill="1"/>
    <xf numFmtId="0" fontId="7" fillId="56" borderId="0" xfId="0" applyFont="1" applyFill="1"/>
    <xf numFmtId="0" fontId="7" fillId="57" borderId="0" xfId="0" applyFont="1" applyFill="1"/>
    <xf numFmtId="0" fontId="7" fillId="58" borderId="0" xfId="0" applyFont="1" applyFill="1"/>
    <xf numFmtId="0" fontId="8" fillId="59" borderId="0" xfId="0" applyFont="1" applyFill="1"/>
    <xf numFmtId="0" fontId="8" fillId="60" borderId="0" xfId="0" applyFont="1" applyFill="1"/>
    <xf numFmtId="0" fontId="8" fillId="61" borderId="0" xfId="0" applyFont="1" applyFill="1"/>
    <xf numFmtId="0" fontId="7" fillId="62" borderId="0" xfId="0" applyFont="1" applyFill="1"/>
    <xf numFmtId="0" fontId="31" fillId="58" borderId="0" xfId="0" applyFont="1" applyFill="1"/>
    <xf numFmtId="0" fontId="26" fillId="59" borderId="0" xfId="0" applyFont="1" applyFill="1"/>
    <xf numFmtId="0" fontId="8" fillId="59" borderId="0" xfId="0" applyFont="1" applyFill="1" applyAlignment="1">
      <alignment horizontal="right"/>
    </xf>
    <xf numFmtId="0" fontId="8" fillId="59" borderId="0" xfId="0" applyFont="1" applyFill="1" applyAlignment="1">
      <alignment horizontal="left"/>
    </xf>
    <xf numFmtId="169" fontId="8" fillId="59" borderId="0" xfId="0" applyNumberFormat="1" applyFont="1" applyFill="1" applyAlignment="1">
      <alignment horizontal="right"/>
    </xf>
    <xf numFmtId="0" fontId="26" fillId="59" borderId="0" xfId="0" applyFont="1" applyFill="1" applyAlignment="1">
      <alignment horizontal="left"/>
    </xf>
    <xf numFmtId="0" fontId="26" fillId="59" borderId="0" xfId="0" applyFont="1" applyFill="1" applyAlignment="1">
      <alignment horizontal="right"/>
    </xf>
    <xf numFmtId="169" fontId="8" fillId="59" borderId="0" xfId="0" applyNumberFormat="1" applyFont="1" applyFill="1" applyAlignment="1">
      <alignment horizontal="left"/>
    </xf>
    <xf numFmtId="169" fontId="8" fillId="59" borderId="0" xfId="0" applyNumberFormat="1" applyFont="1" applyFill="1"/>
    <xf numFmtId="0" fontId="31" fillId="45" borderId="0" xfId="0" applyFont="1" applyFill="1"/>
    <xf numFmtId="0" fontId="26" fillId="60" borderId="0" xfId="0" applyFont="1" applyFill="1"/>
    <xf numFmtId="0" fontId="8" fillId="60" borderId="0" xfId="0" applyFont="1" applyFill="1" applyAlignment="1">
      <alignment horizontal="right"/>
    </xf>
    <xf numFmtId="0" fontId="8" fillId="60" borderId="0" xfId="0" applyFont="1" applyFill="1" applyAlignment="1">
      <alignment horizontal="left"/>
    </xf>
    <xf numFmtId="169" fontId="8" fillId="60" borderId="0" xfId="0" applyNumberFormat="1" applyFont="1" applyFill="1" applyAlignment="1">
      <alignment horizontal="right"/>
    </xf>
    <xf numFmtId="0" fontId="26" fillId="60" borderId="0" xfId="0" applyFont="1" applyFill="1" applyAlignment="1">
      <alignment horizontal="left"/>
    </xf>
    <xf numFmtId="0" fontId="26" fillId="60" borderId="0" xfId="0" applyFont="1" applyFill="1" applyAlignment="1">
      <alignment horizontal="right"/>
    </xf>
    <xf numFmtId="169" fontId="8" fillId="60" borderId="0" xfId="0" applyNumberFormat="1" applyFont="1" applyFill="1" applyAlignment="1">
      <alignment horizontal="left"/>
    </xf>
    <xf numFmtId="169" fontId="8" fillId="60" borderId="0" xfId="0" applyNumberFormat="1" applyFont="1" applyFill="1"/>
    <xf numFmtId="0" fontId="31" fillId="56" borderId="0" xfId="0" applyFont="1" applyFill="1"/>
    <xf numFmtId="0" fontId="26" fillId="61" borderId="0" xfId="0" applyFont="1" applyFill="1"/>
    <xf numFmtId="0" fontId="8" fillId="61" borderId="0" xfId="0" applyFont="1" applyFill="1" applyAlignment="1">
      <alignment horizontal="right"/>
    </xf>
    <xf numFmtId="0" fontId="8" fillId="61" borderId="0" xfId="0" applyFont="1" applyFill="1" applyAlignment="1">
      <alignment horizontal="left"/>
    </xf>
    <xf numFmtId="169" fontId="8" fillId="61" borderId="0" xfId="0" applyNumberFormat="1" applyFont="1" applyFill="1" applyAlignment="1">
      <alignment horizontal="right"/>
    </xf>
    <xf numFmtId="0" fontId="26" fillId="61" borderId="0" xfId="0" applyFont="1" applyFill="1" applyAlignment="1">
      <alignment horizontal="left"/>
    </xf>
    <xf numFmtId="0" fontId="26" fillId="61" borderId="0" xfId="0" applyFont="1" applyFill="1" applyAlignment="1">
      <alignment horizontal="right"/>
    </xf>
    <xf numFmtId="169" fontId="8" fillId="61" borderId="0" xfId="0" applyNumberFormat="1" applyFont="1" applyFill="1" applyAlignment="1">
      <alignment horizontal="left"/>
    </xf>
    <xf numFmtId="169" fontId="8" fillId="61" borderId="0" xfId="0" applyNumberFormat="1" applyFont="1" applyFill="1"/>
    <xf numFmtId="0" fontId="26" fillId="36" borderId="0" xfId="0" applyFont="1" applyFill="1"/>
    <xf numFmtId="0" fontId="8" fillId="36" borderId="0" xfId="0" applyFont="1" applyFill="1" applyAlignment="1">
      <alignment horizontal="right"/>
    </xf>
    <xf numFmtId="0" fontId="8" fillId="36" borderId="0" xfId="0" applyFont="1" applyFill="1" applyAlignment="1">
      <alignment horizontal="left"/>
    </xf>
    <xf numFmtId="169" fontId="8" fillId="36" borderId="0" xfId="0" applyNumberFormat="1" applyFont="1" applyFill="1" applyAlignment="1">
      <alignment horizontal="right"/>
    </xf>
    <xf numFmtId="0" fontId="26" fillId="36" borderId="0" xfId="0" applyFont="1" applyFill="1" applyAlignment="1">
      <alignment horizontal="left"/>
    </xf>
    <xf numFmtId="0" fontId="26" fillId="36" borderId="0" xfId="0" applyFont="1" applyFill="1" applyAlignment="1">
      <alignment horizontal="right"/>
    </xf>
    <xf numFmtId="169" fontId="8" fillId="36" borderId="0" xfId="0" applyNumberFormat="1" applyFont="1" applyFill="1" applyAlignment="1">
      <alignment horizontal="left"/>
    </xf>
    <xf numFmtId="169" fontId="8" fillId="36" borderId="0" xfId="0" applyNumberFormat="1" applyFont="1" applyFill="1"/>
    <xf numFmtId="0" fontId="31" fillId="62" borderId="0" xfId="0" applyFont="1" applyFill="1"/>
    <xf numFmtId="0" fontId="31" fillId="57" borderId="0" xfId="0" applyFont="1" applyFill="1"/>
    <xf numFmtId="22" fontId="0" fillId="0" borderId="0" xfId="0" applyNumberFormat="1"/>
    <xf numFmtId="167" fontId="34" fillId="34" borderId="1" xfId="0" applyNumberFormat="1" applyFont="1" applyFill="1" applyBorder="1" applyAlignment="1">
      <alignment horizontal="center"/>
    </xf>
    <xf numFmtId="167" fontId="34" fillId="34" borderId="5" xfId="0" applyNumberFormat="1" applyFont="1" applyFill="1" applyBorder="1" applyAlignment="1">
      <alignment horizontal="center"/>
    </xf>
    <xf numFmtId="167" fontId="9" fillId="34" borderId="1" xfId="0" applyNumberFormat="1" applyFont="1" applyFill="1" applyBorder="1" applyAlignment="1">
      <alignment horizontal="center" vertical="center"/>
    </xf>
    <xf numFmtId="167" fontId="9" fillId="34" borderId="5" xfId="0" applyNumberFormat="1" applyFont="1" applyFill="1" applyBorder="1" applyAlignment="1">
      <alignment horizontal="center" vertical="center"/>
    </xf>
    <xf numFmtId="167" fontId="9" fillId="34" borderId="2" xfId="0" applyNumberFormat="1" applyFont="1" applyFill="1" applyBorder="1" applyAlignment="1">
      <alignment horizontal="center" vertical="center"/>
    </xf>
    <xf numFmtId="167" fontId="9" fillId="34" borderId="8" xfId="0" applyNumberFormat="1" applyFont="1" applyFill="1" applyBorder="1" applyAlignment="1">
      <alignment horizontal="center" vertical="center"/>
    </xf>
    <xf numFmtId="167" fontId="9" fillId="34" borderId="9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22" fillId="0" borderId="15" xfId="0" applyFont="1" applyBorder="1" applyAlignment="1">
      <alignment horizontal="center"/>
    </xf>
    <xf numFmtId="0" fontId="22" fillId="0" borderId="1" xfId="0" applyFont="1" applyBorder="1" applyAlignment="1">
      <alignment horizontal="center" wrapText="1"/>
    </xf>
    <xf numFmtId="0" fontId="22" fillId="0" borderId="5" xfId="0" applyFont="1" applyBorder="1" applyAlignment="1">
      <alignment horizontal="center" wrapText="1"/>
    </xf>
    <xf numFmtId="0" fontId="22" fillId="0" borderId="6" xfId="0" applyFont="1" applyBorder="1" applyAlignment="1">
      <alignment horizontal="center" wrapText="1"/>
    </xf>
    <xf numFmtId="0" fontId="22" fillId="0" borderId="15" xfId="0" applyFont="1" applyBorder="1" applyAlignment="1">
      <alignment horizontal="center" wrapText="1"/>
    </xf>
    <xf numFmtId="0" fontId="22" fillId="0" borderId="14" xfId="0" applyFont="1" applyBorder="1" applyAlignment="1">
      <alignment horizontal="center" wrapText="1"/>
    </xf>
    <xf numFmtId="0" fontId="22" fillId="0" borderId="0" xfId="0" applyFont="1" applyAlignment="1">
      <alignment horizontal="center"/>
    </xf>
    <xf numFmtId="0" fontId="22" fillId="0" borderId="0" xfId="0" applyFont="1" applyAlignment="1">
      <alignment horizontal="center" wrapText="1"/>
    </xf>
    <xf numFmtId="167" fontId="9" fillId="34" borderId="0" xfId="0" applyNumberFormat="1" applyFont="1" applyFill="1" applyBorder="1" applyAlignment="1">
      <alignment horizontal="center" vertical="center"/>
    </xf>
    <xf numFmtId="165" fontId="0" fillId="0" borderId="0" xfId="0" applyNumberFormat="1" applyBorder="1"/>
    <xf numFmtId="1" fontId="0" fillId="31" borderId="24" xfId="0" applyNumberFormat="1" applyFill="1" applyBorder="1" applyAlignment="1" applyProtection="1">
      <alignment horizontal="center"/>
      <protection locked="0"/>
    </xf>
    <xf numFmtId="1" fontId="0" fillId="31" borderId="25" xfId="0" applyNumberFormat="1" applyFill="1" applyBorder="1" applyAlignment="1" applyProtection="1">
      <alignment horizontal="center"/>
      <protection locked="0"/>
    </xf>
    <xf numFmtId="1" fontId="0" fillId="31" borderId="26" xfId="0" applyNumberFormat="1" applyFill="1" applyBorder="1" applyAlignment="1" applyProtection="1">
      <alignment horizontal="center"/>
      <protection locked="0"/>
    </xf>
    <xf numFmtId="0" fontId="33" fillId="0" borderId="5" xfId="0" applyFont="1" applyBorder="1" applyAlignment="1">
      <alignment horizontal="center"/>
    </xf>
    <xf numFmtId="0" fontId="33" fillId="0" borderId="0" xfId="0" applyFont="1" applyAlignment="1">
      <alignment horizontal="center"/>
    </xf>
    <xf numFmtId="0" fontId="6" fillId="63" borderId="1" xfId="0" applyFont="1" applyFill="1" applyBorder="1"/>
    <xf numFmtId="0" fontId="6" fillId="63" borderId="2" xfId="0" applyFont="1" applyFill="1" applyBorder="1"/>
    <xf numFmtId="0" fontId="6" fillId="63" borderId="3" xfId="0" applyFont="1" applyFill="1" applyBorder="1"/>
    <xf numFmtId="0" fontId="6" fillId="63" borderId="8" xfId="0" applyFont="1" applyFill="1" applyBorder="1"/>
    <xf numFmtId="0" fontId="24" fillId="63" borderId="6" xfId="0" applyFont="1" applyFill="1" applyBorder="1" applyAlignment="1">
      <alignment horizontal="right"/>
    </xf>
    <xf numFmtId="0" fontId="15" fillId="63" borderId="10" xfId="0" applyFont="1" applyFill="1" applyBorder="1" applyAlignment="1">
      <alignment horizontal="right"/>
    </xf>
    <xf numFmtId="0" fontId="38" fillId="63" borderId="2" xfId="0" applyFont="1" applyFill="1" applyBorder="1"/>
  </cellXfs>
  <cellStyles count="4">
    <cellStyle name="Bad" xfId="1" builtinId="27"/>
    <cellStyle name="Good" xfId="2" builtinId="26"/>
    <cellStyle name="Hyperlink" xfId="3" builtinId="8"/>
    <cellStyle name="Normal" xfId="0" builtinId="0"/>
  </cellStyles>
  <dxfs count="42">
    <dxf>
      <numFmt numFmtId="1" formatCode="0"/>
      <fill>
        <patternFill patternType="solid">
          <fgColor indexed="64"/>
          <bgColor theme="7" tint="0.79998168889431442"/>
        </patternFill>
      </fill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  <vertical style="medium">
          <color indexed="64"/>
        </vertical>
        <horizontal style="medium">
          <color auto="1"/>
        </horizontal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medium">
          <color auto="1"/>
        </top>
        <bottom style="medium">
          <color auto="1"/>
        </bottom>
        <vertical style="medium">
          <color indexed="64"/>
        </vertical>
        <horizontal style="medium">
          <color auto="1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5" formatCode="h:mm;@"/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5" formatCode="h:mm;@"/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horizontal/>
      </border>
    </dxf>
    <dxf>
      <numFmt numFmtId="166" formatCode="[$-409]m/d/yy\ h:mm\ AM/PM;@"/>
      <border diagonalUp="0" diagonalDown="0">
        <left style="medium">
          <color indexed="64"/>
        </left>
        <right style="medium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2" formatCode="0.00"/>
      <fill>
        <patternFill patternType="solid">
          <fgColor indexed="64"/>
          <bgColor theme="9" tint="0.59999389629810485"/>
        </patternFill>
      </fill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2" formatCode="0.00"/>
      <fill>
        <patternFill patternType="solid">
          <fgColor indexed="64"/>
          <bgColor theme="9" tint="0.59999389629810485"/>
        </patternFill>
      </fill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7" formatCode="0.0%"/>
      <fill>
        <patternFill patternType="solid">
          <fgColor indexed="64"/>
          <bgColor theme="9" tint="0.59999389629810485"/>
        </patternFill>
      </fill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7" formatCode="0.0%"/>
      <fill>
        <patternFill patternType="solid">
          <fgColor indexed="64"/>
          <bgColor theme="9" tint="0.59999389629810485"/>
        </patternFill>
      </fill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7" formatCode="0.0%"/>
      <fill>
        <patternFill patternType="solid">
          <fgColor indexed="64"/>
          <bgColor theme="9" tint="0.59999389629810485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/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solid">
          <fgColor indexed="64"/>
          <bgColor rgb="FFCC99FF"/>
        </patternFill>
      </fill>
      <alignment horizontal="left" vertical="bottom" textRotation="0" wrapText="0" indent="0" justifyLastLine="0" shrinkToFit="0" readingOrder="0"/>
      <border diagonalUp="0" diagonalDown="0">
        <left/>
        <right style="medium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solid">
          <fgColor indexed="64"/>
          <bgColor rgb="FFCC99FF"/>
        </patternFill>
      </fill>
      <alignment horizontal="right" vertical="bottom" textRotation="0" wrapText="0" indent="0" justifyLastLine="0" shrinkToFit="0" readingOrder="0"/>
      <border diagonalUp="0" diagonalDown="0">
        <left style="medium">
          <color indexed="64"/>
        </left>
        <right/>
        <top/>
        <bottom/>
        <horizontal/>
      </border>
    </dxf>
    <dxf>
      <fill>
        <patternFill patternType="solid">
          <fgColor indexed="64"/>
          <bgColor theme="7" tint="0.59999389629810485"/>
        </patternFill>
      </fill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horizontal/>
      </border>
    </dxf>
    <dxf>
      <fill>
        <patternFill patternType="solid">
          <fgColor indexed="64"/>
          <bgColor theme="9" tint="0.79998168889431442"/>
        </patternFill>
      </fill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6" formatCode="[$-409]m/d/yy\ h:mm\ AM/PM;@"/>
      <fill>
        <patternFill patternType="solid">
          <fgColor indexed="64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>
        <left/>
        <right style="medium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6" formatCode="[$-409]m/d/yy\ h:mm\ AM/PM;@"/>
      <fill>
        <patternFill patternType="solid">
          <fgColor indexed="64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6" formatCode="[$-409]m/d/yy\ h:mm\ AM/PM;@"/>
      <fill>
        <patternFill patternType="solid">
          <fgColor indexed="64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66" formatCode="[$-409]m/d/yy\ h:mm\ AM/PM;@"/>
      <fill>
        <patternFill patternType="solid">
          <fgColor indexed="64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numFmt numFmtId="166" formatCode="[$-409]m/d/yy\ h:mm\ AM/PM;@"/>
      <fill>
        <patternFill patternType="solid">
          <fgColor indexed="64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8003C"/>
        <name val="Calibri"/>
        <family val="2"/>
        <scheme val="minor"/>
      </font>
      <numFmt numFmtId="164" formatCode="[$-F800]dddd\,\ mmmm\ dd\,\ yyyy"/>
      <fill>
        <patternFill patternType="solid">
          <fgColor indexed="64"/>
          <bgColor theme="8" tint="0.59999389629810485"/>
        </patternFill>
      </fill>
      <alignment horizontal="left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horizontal/>
      </border>
    </dxf>
    <dxf>
      <numFmt numFmtId="1" formatCode="0"/>
      <fill>
        <patternFill patternType="solid">
          <fgColor indexed="64"/>
          <bgColor theme="5" tint="0.59999389629810485"/>
        </patternFill>
      </fill>
      <alignment horizontal="center" vertical="bottom" textRotation="0" wrapText="0" indent="0" justifyLastLine="0" shrinkToFit="0" readingOrder="0"/>
      <border diagonalUp="0" diagonalDown="0">
        <left style="medium">
          <color indexed="64"/>
        </left>
        <top/>
        <bottom/>
        <horizontal/>
      </border>
    </dxf>
    <dxf>
      <numFmt numFmtId="27" formatCode="m/d/yyyy\ h:mm"/>
    </dxf>
    <dxf>
      <numFmt numFmtId="27" formatCode="m/d/yyyy\ h:mm"/>
    </dxf>
    <dxf>
      <numFmt numFmtId="27" formatCode="m/d/yyyy\ h:mm"/>
    </dxf>
    <dxf>
      <numFmt numFmtId="27" formatCode="m/d/yyyy\ h:mm"/>
    </dxf>
    <dxf>
      <numFmt numFmtId="27" formatCode="m/d/yyyy\ h:mm"/>
    </dxf>
    <dxf>
      <numFmt numFmtId="27" formatCode="m/d/yyyy\ h:mm"/>
    </dxf>
    <dxf>
      <numFmt numFmtId="19" formatCode="m/d/yyyy"/>
    </dxf>
    <dxf>
      <fill>
        <patternFill>
          <bgColor theme="0" tint="-0.34998626667073579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theme="0" tint="-0.34998626667073579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eetMetadata" Target="metadata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6" Type="http://schemas.microsoft.com/office/2017/06/relationships/rdRichValueStructure" Target="richData/rdrichvaluestructure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microsoft.com/office/2017/06/relationships/rdRichValue" Target="richData/rdrichvalue.xml"/><Relationship Id="rId10" Type="http://schemas.openxmlformats.org/officeDocument/2006/relationships/connections" Target="connections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22/10/relationships/richValueRel" Target="richData/richValueRel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png"/><Relationship Id="rId13" Type="http://schemas.openxmlformats.org/officeDocument/2006/relationships/image" Target="../media/image33.png"/><Relationship Id="rId18" Type="http://schemas.openxmlformats.org/officeDocument/2006/relationships/image" Target="../media/image38.png"/><Relationship Id="rId3" Type="http://schemas.openxmlformats.org/officeDocument/2006/relationships/image" Target="../media/image23.png"/><Relationship Id="rId7" Type="http://schemas.openxmlformats.org/officeDocument/2006/relationships/image" Target="../media/image27.png"/><Relationship Id="rId12" Type="http://schemas.openxmlformats.org/officeDocument/2006/relationships/image" Target="../media/image32.png"/><Relationship Id="rId17" Type="http://schemas.openxmlformats.org/officeDocument/2006/relationships/image" Target="../media/image37.png"/><Relationship Id="rId2" Type="http://schemas.openxmlformats.org/officeDocument/2006/relationships/image" Target="../media/image22.png"/><Relationship Id="rId16" Type="http://schemas.openxmlformats.org/officeDocument/2006/relationships/image" Target="../media/image36.png"/><Relationship Id="rId20" Type="http://schemas.openxmlformats.org/officeDocument/2006/relationships/image" Target="../media/image40.png"/><Relationship Id="rId1" Type="http://schemas.openxmlformats.org/officeDocument/2006/relationships/image" Target="../media/image21.png"/><Relationship Id="rId6" Type="http://schemas.openxmlformats.org/officeDocument/2006/relationships/image" Target="../media/image26.png"/><Relationship Id="rId11" Type="http://schemas.openxmlformats.org/officeDocument/2006/relationships/image" Target="../media/image31.png"/><Relationship Id="rId5" Type="http://schemas.openxmlformats.org/officeDocument/2006/relationships/image" Target="../media/image25.png"/><Relationship Id="rId15" Type="http://schemas.openxmlformats.org/officeDocument/2006/relationships/image" Target="../media/image35.png"/><Relationship Id="rId10" Type="http://schemas.openxmlformats.org/officeDocument/2006/relationships/image" Target="../media/image30.png"/><Relationship Id="rId19" Type="http://schemas.openxmlformats.org/officeDocument/2006/relationships/image" Target="../media/image39.png"/><Relationship Id="rId4" Type="http://schemas.openxmlformats.org/officeDocument/2006/relationships/image" Target="../media/image24.png"/><Relationship Id="rId9" Type="http://schemas.openxmlformats.org/officeDocument/2006/relationships/image" Target="../media/image29.png"/><Relationship Id="rId14" Type="http://schemas.openxmlformats.org/officeDocument/2006/relationships/image" Target="../media/image34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png"/><Relationship Id="rId13" Type="http://schemas.openxmlformats.org/officeDocument/2006/relationships/image" Target="../media/image33.png"/><Relationship Id="rId18" Type="http://schemas.openxmlformats.org/officeDocument/2006/relationships/image" Target="../media/image38.png"/><Relationship Id="rId3" Type="http://schemas.openxmlformats.org/officeDocument/2006/relationships/image" Target="../media/image23.png"/><Relationship Id="rId7" Type="http://schemas.openxmlformats.org/officeDocument/2006/relationships/image" Target="../media/image27.png"/><Relationship Id="rId12" Type="http://schemas.openxmlformats.org/officeDocument/2006/relationships/image" Target="../media/image41.png"/><Relationship Id="rId17" Type="http://schemas.openxmlformats.org/officeDocument/2006/relationships/image" Target="../media/image43.png"/><Relationship Id="rId2" Type="http://schemas.openxmlformats.org/officeDocument/2006/relationships/image" Target="../media/image22.png"/><Relationship Id="rId16" Type="http://schemas.openxmlformats.org/officeDocument/2006/relationships/image" Target="../media/image42.png"/><Relationship Id="rId20" Type="http://schemas.openxmlformats.org/officeDocument/2006/relationships/image" Target="../media/image40.png"/><Relationship Id="rId1" Type="http://schemas.openxmlformats.org/officeDocument/2006/relationships/image" Target="../media/image21.png"/><Relationship Id="rId6" Type="http://schemas.openxmlformats.org/officeDocument/2006/relationships/image" Target="../media/image26.png"/><Relationship Id="rId11" Type="http://schemas.openxmlformats.org/officeDocument/2006/relationships/image" Target="../media/image31.png"/><Relationship Id="rId5" Type="http://schemas.openxmlformats.org/officeDocument/2006/relationships/image" Target="../media/image25.png"/><Relationship Id="rId15" Type="http://schemas.openxmlformats.org/officeDocument/2006/relationships/image" Target="../media/image35.png"/><Relationship Id="rId10" Type="http://schemas.openxmlformats.org/officeDocument/2006/relationships/image" Target="../media/image30.png"/><Relationship Id="rId19" Type="http://schemas.openxmlformats.org/officeDocument/2006/relationships/image" Target="../media/image39.png"/><Relationship Id="rId4" Type="http://schemas.openxmlformats.org/officeDocument/2006/relationships/image" Target="../media/image24.png"/><Relationship Id="rId9" Type="http://schemas.openxmlformats.org/officeDocument/2006/relationships/image" Target="../media/image29.png"/><Relationship Id="rId14" Type="http://schemas.openxmlformats.org/officeDocument/2006/relationships/image" Target="../media/image34.png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0.png"/><Relationship Id="rId18" Type="http://schemas.openxmlformats.org/officeDocument/2006/relationships/image" Target="../media/image39.png"/><Relationship Id="rId26" Type="http://schemas.openxmlformats.org/officeDocument/2006/relationships/image" Target="../media/image28.png"/><Relationship Id="rId39" Type="http://schemas.openxmlformats.org/officeDocument/2006/relationships/image" Target="../media/image63.png"/><Relationship Id="rId21" Type="http://schemas.openxmlformats.org/officeDocument/2006/relationships/image" Target="../media/image54.png"/><Relationship Id="rId34" Type="http://schemas.openxmlformats.org/officeDocument/2006/relationships/image" Target="../media/image21.png"/><Relationship Id="rId7" Type="http://schemas.openxmlformats.org/officeDocument/2006/relationships/image" Target="../media/image47.png"/><Relationship Id="rId12" Type="http://schemas.openxmlformats.org/officeDocument/2006/relationships/image" Target="../media/image25.png"/><Relationship Id="rId17" Type="http://schemas.openxmlformats.org/officeDocument/2006/relationships/image" Target="../media/image52.png"/><Relationship Id="rId25" Type="http://schemas.openxmlformats.org/officeDocument/2006/relationships/image" Target="../media/image56.png"/><Relationship Id="rId33" Type="http://schemas.openxmlformats.org/officeDocument/2006/relationships/image" Target="../media/image60.png"/><Relationship Id="rId38" Type="http://schemas.openxmlformats.org/officeDocument/2006/relationships/image" Target="../media/image29.png"/><Relationship Id="rId2" Type="http://schemas.openxmlformats.org/officeDocument/2006/relationships/image" Target="../media/image23.png"/><Relationship Id="rId16" Type="http://schemas.openxmlformats.org/officeDocument/2006/relationships/image" Target="../media/image43.png"/><Relationship Id="rId20" Type="http://schemas.openxmlformats.org/officeDocument/2006/relationships/image" Target="../media/image38.png"/><Relationship Id="rId29" Type="http://schemas.openxmlformats.org/officeDocument/2006/relationships/image" Target="../media/image58.png"/><Relationship Id="rId1" Type="http://schemas.openxmlformats.org/officeDocument/2006/relationships/image" Target="../media/image44.png"/><Relationship Id="rId6" Type="http://schemas.openxmlformats.org/officeDocument/2006/relationships/image" Target="../media/image35.png"/><Relationship Id="rId11" Type="http://schemas.openxmlformats.org/officeDocument/2006/relationships/image" Target="../media/image49.png"/><Relationship Id="rId24" Type="http://schemas.openxmlformats.org/officeDocument/2006/relationships/image" Target="../media/image40.png"/><Relationship Id="rId32" Type="http://schemas.openxmlformats.org/officeDocument/2006/relationships/image" Target="../media/image42.png"/><Relationship Id="rId37" Type="http://schemas.openxmlformats.org/officeDocument/2006/relationships/image" Target="../media/image62.png"/><Relationship Id="rId40" Type="http://schemas.openxmlformats.org/officeDocument/2006/relationships/image" Target="../media/image31.png"/><Relationship Id="rId5" Type="http://schemas.openxmlformats.org/officeDocument/2006/relationships/image" Target="../media/image46.png"/><Relationship Id="rId15" Type="http://schemas.openxmlformats.org/officeDocument/2006/relationships/image" Target="../media/image51.png"/><Relationship Id="rId23" Type="http://schemas.openxmlformats.org/officeDocument/2006/relationships/image" Target="../media/image55.png"/><Relationship Id="rId28" Type="http://schemas.openxmlformats.org/officeDocument/2006/relationships/image" Target="../media/image27.png"/><Relationship Id="rId36" Type="http://schemas.openxmlformats.org/officeDocument/2006/relationships/image" Target="../media/image34.png"/><Relationship Id="rId10" Type="http://schemas.openxmlformats.org/officeDocument/2006/relationships/image" Target="../media/image30.png"/><Relationship Id="rId19" Type="http://schemas.openxmlformats.org/officeDocument/2006/relationships/image" Target="../media/image53.png"/><Relationship Id="rId31" Type="http://schemas.openxmlformats.org/officeDocument/2006/relationships/image" Target="../media/image59.png"/><Relationship Id="rId4" Type="http://schemas.openxmlformats.org/officeDocument/2006/relationships/image" Target="../media/image41.png"/><Relationship Id="rId9" Type="http://schemas.openxmlformats.org/officeDocument/2006/relationships/image" Target="../media/image48.png"/><Relationship Id="rId14" Type="http://schemas.openxmlformats.org/officeDocument/2006/relationships/image" Target="../media/image26.png"/><Relationship Id="rId22" Type="http://schemas.openxmlformats.org/officeDocument/2006/relationships/image" Target="../media/image33.png"/><Relationship Id="rId27" Type="http://schemas.openxmlformats.org/officeDocument/2006/relationships/image" Target="../media/image57.png"/><Relationship Id="rId30" Type="http://schemas.openxmlformats.org/officeDocument/2006/relationships/image" Target="../media/image24.png"/><Relationship Id="rId35" Type="http://schemas.openxmlformats.org/officeDocument/2006/relationships/image" Target="../media/image61.png"/><Relationship Id="rId8" Type="http://schemas.openxmlformats.org/officeDocument/2006/relationships/image" Target="../media/image22.png"/><Relationship Id="rId3" Type="http://schemas.openxmlformats.org/officeDocument/2006/relationships/image" Target="../media/image45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6.png"/><Relationship Id="rId13" Type="http://schemas.openxmlformats.org/officeDocument/2006/relationships/image" Target="../media/image27.png"/><Relationship Id="rId18" Type="http://schemas.openxmlformats.org/officeDocument/2006/relationships/image" Target="../media/image21.png"/><Relationship Id="rId3" Type="http://schemas.openxmlformats.org/officeDocument/2006/relationships/image" Target="../media/image22.png"/><Relationship Id="rId7" Type="http://schemas.openxmlformats.org/officeDocument/2006/relationships/image" Target="../media/image43.png"/><Relationship Id="rId12" Type="http://schemas.openxmlformats.org/officeDocument/2006/relationships/image" Target="../media/image33.png"/><Relationship Id="rId17" Type="http://schemas.openxmlformats.org/officeDocument/2006/relationships/image" Target="../media/image34.png"/><Relationship Id="rId2" Type="http://schemas.openxmlformats.org/officeDocument/2006/relationships/image" Target="../media/image23.png"/><Relationship Id="rId16" Type="http://schemas.openxmlformats.org/officeDocument/2006/relationships/image" Target="../media/image24.png"/><Relationship Id="rId20" Type="http://schemas.openxmlformats.org/officeDocument/2006/relationships/image" Target="../media/image29.png"/><Relationship Id="rId1" Type="http://schemas.openxmlformats.org/officeDocument/2006/relationships/image" Target="../media/image41.png"/><Relationship Id="rId6" Type="http://schemas.openxmlformats.org/officeDocument/2006/relationships/image" Target="../media/image30.png"/><Relationship Id="rId11" Type="http://schemas.openxmlformats.org/officeDocument/2006/relationships/image" Target="../media/image40.png"/><Relationship Id="rId5" Type="http://schemas.openxmlformats.org/officeDocument/2006/relationships/image" Target="../media/image25.png"/><Relationship Id="rId15" Type="http://schemas.openxmlformats.org/officeDocument/2006/relationships/image" Target="../media/image42.png"/><Relationship Id="rId10" Type="http://schemas.openxmlformats.org/officeDocument/2006/relationships/image" Target="../media/image39.png"/><Relationship Id="rId19" Type="http://schemas.openxmlformats.org/officeDocument/2006/relationships/image" Target="../media/image31.png"/><Relationship Id="rId4" Type="http://schemas.openxmlformats.org/officeDocument/2006/relationships/image" Target="../media/image35.png"/><Relationship Id="rId9" Type="http://schemas.openxmlformats.org/officeDocument/2006/relationships/image" Target="../media/image38.png"/><Relationship Id="rId14" Type="http://schemas.openxmlformats.org/officeDocument/2006/relationships/image" Target="../media/image2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177800</xdr:colOff>
      <xdr:row>1</xdr:row>
      <xdr:rowOff>39688</xdr:rowOff>
    </xdr:from>
    <xdr:to>
      <xdr:col>0</xdr:col>
      <xdr:colOff>431800</xdr:colOff>
      <xdr:row>1</xdr:row>
      <xdr:rowOff>293688</xdr:rowOff>
    </xdr:to>
    <xdr:pic>
      <xdr:nvPicPr>
        <xdr:cNvPr id="4" name="Arsenal">
          <a:extLst>
            <a:ext uri="{FF2B5EF4-FFF2-40B4-BE49-F238E27FC236}">
              <a16:creationId xmlns:a16="http://schemas.microsoft.com/office/drawing/2014/main" id="{68F2282E-A926-9355-4EBB-D62EEFDB7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382588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2</xdr:row>
      <xdr:rowOff>39688</xdr:rowOff>
    </xdr:from>
    <xdr:to>
      <xdr:col>0</xdr:col>
      <xdr:colOff>431800</xdr:colOff>
      <xdr:row>2</xdr:row>
      <xdr:rowOff>293688</xdr:rowOff>
    </xdr:to>
    <xdr:pic>
      <xdr:nvPicPr>
        <xdr:cNvPr id="7" name="Aston Villa">
          <a:extLst>
            <a:ext uri="{FF2B5EF4-FFF2-40B4-BE49-F238E27FC236}">
              <a16:creationId xmlns:a16="http://schemas.microsoft.com/office/drawing/2014/main" id="{8B5C0722-7316-1536-E7F7-B1A2D0403A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715963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3</xdr:row>
      <xdr:rowOff>39688</xdr:rowOff>
    </xdr:from>
    <xdr:to>
      <xdr:col>0</xdr:col>
      <xdr:colOff>431800</xdr:colOff>
      <xdr:row>3</xdr:row>
      <xdr:rowOff>293688</xdr:rowOff>
    </xdr:to>
    <xdr:pic>
      <xdr:nvPicPr>
        <xdr:cNvPr id="10" name="Bournemouth">
          <a:extLst>
            <a:ext uri="{FF2B5EF4-FFF2-40B4-BE49-F238E27FC236}">
              <a16:creationId xmlns:a16="http://schemas.microsoft.com/office/drawing/2014/main" id="{0CCFA95C-7C8B-FE11-E80F-AA291C88ED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1049338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4</xdr:row>
      <xdr:rowOff>39688</xdr:rowOff>
    </xdr:from>
    <xdr:to>
      <xdr:col>0</xdr:col>
      <xdr:colOff>431800</xdr:colOff>
      <xdr:row>4</xdr:row>
      <xdr:rowOff>293688</xdr:rowOff>
    </xdr:to>
    <xdr:pic>
      <xdr:nvPicPr>
        <xdr:cNvPr id="13" name="Brentford">
          <a:extLst>
            <a:ext uri="{FF2B5EF4-FFF2-40B4-BE49-F238E27FC236}">
              <a16:creationId xmlns:a16="http://schemas.microsoft.com/office/drawing/2014/main" id="{0E996B5B-1D47-4F97-9962-BC7ECE5BB2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1382713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5</xdr:row>
      <xdr:rowOff>39688</xdr:rowOff>
    </xdr:from>
    <xdr:to>
      <xdr:col>0</xdr:col>
      <xdr:colOff>431800</xdr:colOff>
      <xdr:row>5</xdr:row>
      <xdr:rowOff>293688</xdr:rowOff>
    </xdr:to>
    <xdr:pic>
      <xdr:nvPicPr>
        <xdr:cNvPr id="16" name="Brighton">
          <a:extLst>
            <a:ext uri="{FF2B5EF4-FFF2-40B4-BE49-F238E27FC236}">
              <a16:creationId xmlns:a16="http://schemas.microsoft.com/office/drawing/2014/main" id="{40EFB67F-A038-48C2-9B91-CF7AB9C4D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1716088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194557</xdr:colOff>
      <xdr:row>6</xdr:row>
      <xdr:rowOff>39688</xdr:rowOff>
    </xdr:from>
    <xdr:to>
      <xdr:col>0</xdr:col>
      <xdr:colOff>415043</xdr:colOff>
      <xdr:row>6</xdr:row>
      <xdr:rowOff>293688</xdr:rowOff>
    </xdr:to>
    <xdr:pic>
      <xdr:nvPicPr>
        <xdr:cNvPr id="20" name="Burnley">
          <a:extLst>
            <a:ext uri="{FF2B5EF4-FFF2-40B4-BE49-F238E27FC236}">
              <a16:creationId xmlns:a16="http://schemas.microsoft.com/office/drawing/2014/main" id="{FD930C34-48F7-BA2B-3991-5486C508FA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557" y="2049463"/>
          <a:ext cx="220486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7</xdr:row>
      <xdr:rowOff>39688</xdr:rowOff>
    </xdr:from>
    <xdr:to>
      <xdr:col>0</xdr:col>
      <xdr:colOff>431800</xdr:colOff>
      <xdr:row>7</xdr:row>
      <xdr:rowOff>293688</xdr:rowOff>
    </xdr:to>
    <xdr:pic>
      <xdr:nvPicPr>
        <xdr:cNvPr id="23" name="Chelsea">
          <a:extLst>
            <a:ext uri="{FF2B5EF4-FFF2-40B4-BE49-F238E27FC236}">
              <a16:creationId xmlns:a16="http://schemas.microsoft.com/office/drawing/2014/main" id="{315E6929-5294-5C61-A756-E8F8880AD1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2382838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8</xdr:row>
      <xdr:rowOff>39688</xdr:rowOff>
    </xdr:from>
    <xdr:to>
      <xdr:col>0</xdr:col>
      <xdr:colOff>431800</xdr:colOff>
      <xdr:row>8</xdr:row>
      <xdr:rowOff>293688</xdr:rowOff>
    </xdr:to>
    <xdr:pic>
      <xdr:nvPicPr>
        <xdr:cNvPr id="26" name="Crystal Palace">
          <a:extLst>
            <a:ext uri="{FF2B5EF4-FFF2-40B4-BE49-F238E27FC236}">
              <a16:creationId xmlns:a16="http://schemas.microsoft.com/office/drawing/2014/main" id="{A2626925-0A3F-A0F5-0499-68BE33B10E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2716213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9</xdr:row>
      <xdr:rowOff>44450</xdr:rowOff>
    </xdr:from>
    <xdr:to>
      <xdr:col>0</xdr:col>
      <xdr:colOff>431800</xdr:colOff>
      <xdr:row>9</xdr:row>
      <xdr:rowOff>298450</xdr:rowOff>
    </xdr:to>
    <xdr:pic>
      <xdr:nvPicPr>
        <xdr:cNvPr id="29" name="Everton">
          <a:extLst>
            <a:ext uri="{FF2B5EF4-FFF2-40B4-BE49-F238E27FC236}">
              <a16:creationId xmlns:a16="http://schemas.microsoft.com/office/drawing/2014/main" id="{0CAD530F-B76B-50C5-CC81-6A063AE321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3054350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10</xdr:row>
      <xdr:rowOff>39688</xdr:rowOff>
    </xdr:from>
    <xdr:to>
      <xdr:col>0</xdr:col>
      <xdr:colOff>431800</xdr:colOff>
      <xdr:row>10</xdr:row>
      <xdr:rowOff>293688</xdr:rowOff>
    </xdr:to>
    <xdr:pic>
      <xdr:nvPicPr>
        <xdr:cNvPr id="32" name="Fulham">
          <a:extLst>
            <a:ext uri="{FF2B5EF4-FFF2-40B4-BE49-F238E27FC236}">
              <a16:creationId xmlns:a16="http://schemas.microsoft.com/office/drawing/2014/main" id="{1CE0B66A-F33E-6EF5-7DE7-1898D7B0A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3392488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201428</xdr:colOff>
      <xdr:row>11</xdr:row>
      <xdr:rowOff>39688</xdr:rowOff>
    </xdr:from>
    <xdr:to>
      <xdr:col>0</xdr:col>
      <xdr:colOff>408172</xdr:colOff>
      <xdr:row>11</xdr:row>
      <xdr:rowOff>293688</xdr:rowOff>
    </xdr:to>
    <xdr:pic>
      <xdr:nvPicPr>
        <xdr:cNvPr id="36" name="Leeds Utd">
          <a:extLst>
            <a:ext uri="{FF2B5EF4-FFF2-40B4-BE49-F238E27FC236}">
              <a16:creationId xmlns:a16="http://schemas.microsoft.com/office/drawing/2014/main" id="{5D60D4E4-7EBD-7D62-F586-6CD78E2608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428" y="3725863"/>
          <a:ext cx="206744" cy="254000"/>
        </a:xfrm>
        <a:prstGeom prst="rect">
          <a:avLst/>
        </a:prstGeom>
      </xdr:spPr>
    </xdr:pic>
    <xdr:clientData/>
  </xdr:twoCellAnchor>
  <xdr:twoCellAnchor>
    <xdr:from>
      <xdr:col>0</xdr:col>
      <xdr:colOff>234950</xdr:colOff>
      <xdr:row>12</xdr:row>
      <xdr:rowOff>39688</xdr:rowOff>
    </xdr:from>
    <xdr:to>
      <xdr:col>0</xdr:col>
      <xdr:colOff>374650</xdr:colOff>
      <xdr:row>12</xdr:row>
      <xdr:rowOff>293688</xdr:rowOff>
    </xdr:to>
    <xdr:pic>
      <xdr:nvPicPr>
        <xdr:cNvPr id="39" name="Liverpool">
          <a:extLst>
            <a:ext uri="{FF2B5EF4-FFF2-40B4-BE49-F238E27FC236}">
              <a16:creationId xmlns:a16="http://schemas.microsoft.com/office/drawing/2014/main" id="{D5E61B57-E934-62E3-D62C-FE4B737EF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950" y="4059238"/>
          <a:ext cx="1397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13</xdr:row>
      <xdr:rowOff>39688</xdr:rowOff>
    </xdr:from>
    <xdr:to>
      <xdr:col>0</xdr:col>
      <xdr:colOff>431800</xdr:colOff>
      <xdr:row>13</xdr:row>
      <xdr:rowOff>293688</xdr:rowOff>
    </xdr:to>
    <xdr:pic>
      <xdr:nvPicPr>
        <xdr:cNvPr id="42" name="Man City">
          <a:extLst>
            <a:ext uri="{FF2B5EF4-FFF2-40B4-BE49-F238E27FC236}">
              <a16:creationId xmlns:a16="http://schemas.microsoft.com/office/drawing/2014/main" id="{029E55C8-17C3-CF7D-228E-C30E65286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4392613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14</xdr:row>
      <xdr:rowOff>44450</xdr:rowOff>
    </xdr:from>
    <xdr:to>
      <xdr:col>0</xdr:col>
      <xdr:colOff>431800</xdr:colOff>
      <xdr:row>14</xdr:row>
      <xdr:rowOff>298450</xdr:rowOff>
    </xdr:to>
    <xdr:pic>
      <xdr:nvPicPr>
        <xdr:cNvPr id="45" name="Man Utd">
          <a:extLst>
            <a:ext uri="{FF2B5EF4-FFF2-40B4-BE49-F238E27FC236}">
              <a16:creationId xmlns:a16="http://schemas.microsoft.com/office/drawing/2014/main" id="{694A3ACF-0445-D71B-F650-0464045C8E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4730750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15</xdr:row>
      <xdr:rowOff>44450</xdr:rowOff>
    </xdr:from>
    <xdr:to>
      <xdr:col>0</xdr:col>
      <xdr:colOff>431800</xdr:colOff>
      <xdr:row>15</xdr:row>
      <xdr:rowOff>298450</xdr:rowOff>
    </xdr:to>
    <xdr:pic>
      <xdr:nvPicPr>
        <xdr:cNvPr id="47" name="Newcastle">
          <a:extLst>
            <a:ext uri="{FF2B5EF4-FFF2-40B4-BE49-F238E27FC236}">
              <a16:creationId xmlns:a16="http://schemas.microsoft.com/office/drawing/2014/main" id="{040F12BF-B0BA-A9A5-B6DA-7E2D3279A2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5073650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233680</xdr:colOff>
      <xdr:row>16</xdr:row>
      <xdr:rowOff>39688</xdr:rowOff>
    </xdr:from>
    <xdr:to>
      <xdr:col>0</xdr:col>
      <xdr:colOff>375920</xdr:colOff>
      <xdr:row>16</xdr:row>
      <xdr:rowOff>293688</xdr:rowOff>
    </xdr:to>
    <xdr:pic>
      <xdr:nvPicPr>
        <xdr:cNvPr id="50" name="Nott'm Forest">
          <a:extLst>
            <a:ext uri="{FF2B5EF4-FFF2-40B4-BE49-F238E27FC236}">
              <a16:creationId xmlns:a16="http://schemas.microsoft.com/office/drawing/2014/main" id="{BCA2FE1F-5539-44B8-48AE-69D9325A5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680" y="5411788"/>
          <a:ext cx="142240" cy="254000"/>
        </a:xfrm>
        <a:prstGeom prst="rect">
          <a:avLst/>
        </a:prstGeom>
      </xdr:spPr>
    </xdr:pic>
    <xdr:clientData/>
  </xdr:twoCellAnchor>
  <xdr:twoCellAnchor>
    <xdr:from>
      <xdr:col>0</xdr:col>
      <xdr:colOff>242924</xdr:colOff>
      <xdr:row>17</xdr:row>
      <xdr:rowOff>39688</xdr:rowOff>
    </xdr:from>
    <xdr:to>
      <xdr:col>0</xdr:col>
      <xdr:colOff>366676</xdr:colOff>
      <xdr:row>17</xdr:row>
      <xdr:rowOff>293688</xdr:rowOff>
    </xdr:to>
    <xdr:pic>
      <xdr:nvPicPr>
        <xdr:cNvPr id="53" name="Spurs">
          <a:extLst>
            <a:ext uri="{FF2B5EF4-FFF2-40B4-BE49-F238E27FC236}">
              <a16:creationId xmlns:a16="http://schemas.microsoft.com/office/drawing/2014/main" id="{E14AEC01-7A29-B295-6C21-54BDA5C888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924" y="5745163"/>
          <a:ext cx="123752" cy="254000"/>
        </a:xfrm>
        <a:prstGeom prst="rect">
          <a:avLst/>
        </a:prstGeom>
      </xdr:spPr>
    </xdr:pic>
    <xdr:clientData/>
  </xdr:twoCellAnchor>
  <xdr:twoCellAnchor>
    <xdr:from>
      <xdr:col>0</xdr:col>
      <xdr:colOff>152634</xdr:colOff>
      <xdr:row>18</xdr:row>
      <xdr:rowOff>39688</xdr:rowOff>
    </xdr:from>
    <xdr:to>
      <xdr:col>0</xdr:col>
      <xdr:colOff>456966</xdr:colOff>
      <xdr:row>18</xdr:row>
      <xdr:rowOff>293688</xdr:rowOff>
    </xdr:to>
    <xdr:pic>
      <xdr:nvPicPr>
        <xdr:cNvPr id="55" name="Sunderland">
          <a:extLst>
            <a:ext uri="{FF2B5EF4-FFF2-40B4-BE49-F238E27FC236}">
              <a16:creationId xmlns:a16="http://schemas.microsoft.com/office/drawing/2014/main" id="{9846C0B2-23D1-14D0-0EB5-FDF2F6B0AD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634" y="6078538"/>
          <a:ext cx="304332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19</xdr:row>
      <xdr:rowOff>39688</xdr:rowOff>
    </xdr:from>
    <xdr:to>
      <xdr:col>0</xdr:col>
      <xdr:colOff>431800</xdr:colOff>
      <xdr:row>19</xdr:row>
      <xdr:rowOff>293688</xdr:rowOff>
    </xdr:to>
    <xdr:pic>
      <xdr:nvPicPr>
        <xdr:cNvPr id="58" name="West Ham">
          <a:extLst>
            <a:ext uri="{FF2B5EF4-FFF2-40B4-BE49-F238E27FC236}">
              <a16:creationId xmlns:a16="http://schemas.microsoft.com/office/drawing/2014/main" id="{F2F72D29-A814-E9AA-434A-8A5851CA57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6411913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20</xdr:row>
      <xdr:rowOff>39688</xdr:rowOff>
    </xdr:from>
    <xdr:to>
      <xdr:col>0</xdr:col>
      <xdr:colOff>431800</xdr:colOff>
      <xdr:row>20</xdr:row>
      <xdr:rowOff>293688</xdr:rowOff>
    </xdr:to>
    <xdr:pic>
      <xdr:nvPicPr>
        <xdr:cNvPr id="61" name="Wolves">
          <a:extLst>
            <a:ext uri="{FF2B5EF4-FFF2-40B4-BE49-F238E27FC236}">
              <a16:creationId xmlns:a16="http://schemas.microsoft.com/office/drawing/2014/main" id="{21F44827-B476-5339-1FC5-27A97099F3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6745288"/>
          <a:ext cx="254000" cy="254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177800</xdr:colOff>
      <xdr:row>1</xdr:row>
      <xdr:rowOff>39688</xdr:rowOff>
    </xdr:from>
    <xdr:to>
      <xdr:col>0</xdr:col>
      <xdr:colOff>431800</xdr:colOff>
      <xdr:row>1</xdr:row>
      <xdr:rowOff>293688</xdr:rowOff>
    </xdr:to>
    <xdr:pic>
      <xdr:nvPicPr>
        <xdr:cNvPr id="3" name="Arsenal">
          <a:extLst>
            <a:ext uri="{FF2B5EF4-FFF2-40B4-BE49-F238E27FC236}">
              <a16:creationId xmlns:a16="http://schemas.microsoft.com/office/drawing/2014/main" id="{C16E2638-0AE5-2412-075A-915939185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382588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2</xdr:row>
      <xdr:rowOff>39688</xdr:rowOff>
    </xdr:from>
    <xdr:to>
      <xdr:col>0</xdr:col>
      <xdr:colOff>431800</xdr:colOff>
      <xdr:row>2</xdr:row>
      <xdr:rowOff>293688</xdr:rowOff>
    </xdr:to>
    <xdr:pic>
      <xdr:nvPicPr>
        <xdr:cNvPr id="5" name="Aston Villa">
          <a:extLst>
            <a:ext uri="{FF2B5EF4-FFF2-40B4-BE49-F238E27FC236}">
              <a16:creationId xmlns:a16="http://schemas.microsoft.com/office/drawing/2014/main" id="{832AFB59-6A5E-453F-FD8F-781661A6E5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715963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3</xdr:row>
      <xdr:rowOff>39688</xdr:rowOff>
    </xdr:from>
    <xdr:to>
      <xdr:col>0</xdr:col>
      <xdr:colOff>431800</xdr:colOff>
      <xdr:row>3</xdr:row>
      <xdr:rowOff>293688</xdr:rowOff>
    </xdr:to>
    <xdr:pic>
      <xdr:nvPicPr>
        <xdr:cNvPr id="7" name="Bournemouth">
          <a:extLst>
            <a:ext uri="{FF2B5EF4-FFF2-40B4-BE49-F238E27FC236}">
              <a16:creationId xmlns:a16="http://schemas.microsoft.com/office/drawing/2014/main" id="{CD90EC1A-CC18-45DE-FDFC-6C6E711C46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1049338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4</xdr:row>
      <xdr:rowOff>39688</xdr:rowOff>
    </xdr:from>
    <xdr:to>
      <xdr:col>0</xdr:col>
      <xdr:colOff>431800</xdr:colOff>
      <xdr:row>4</xdr:row>
      <xdr:rowOff>293688</xdr:rowOff>
    </xdr:to>
    <xdr:pic>
      <xdr:nvPicPr>
        <xdr:cNvPr id="9" name="Brentford">
          <a:extLst>
            <a:ext uri="{FF2B5EF4-FFF2-40B4-BE49-F238E27FC236}">
              <a16:creationId xmlns:a16="http://schemas.microsoft.com/office/drawing/2014/main" id="{9F3CA323-CAA7-E47F-9304-F77E8DCB83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1382713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5</xdr:row>
      <xdr:rowOff>39688</xdr:rowOff>
    </xdr:from>
    <xdr:to>
      <xdr:col>0</xdr:col>
      <xdr:colOff>431800</xdr:colOff>
      <xdr:row>5</xdr:row>
      <xdr:rowOff>293688</xdr:rowOff>
    </xdr:to>
    <xdr:pic>
      <xdr:nvPicPr>
        <xdr:cNvPr id="11" name="Brighton">
          <a:extLst>
            <a:ext uri="{FF2B5EF4-FFF2-40B4-BE49-F238E27FC236}">
              <a16:creationId xmlns:a16="http://schemas.microsoft.com/office/drawing/2014/main" id="{D828BB41-8A29-6B05-D37C-5B4D7F953F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1716088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194557</xdr:colOff>
      <xdr:row>6</xdr:row>
      <xdr:rowOff>39688</xdr:rowOff>
    </xdr:from>
    <xdr:to>
      <xdr:col>0</xdr:col>
      <xdr:colOff>415043</xdr:colOff>
      <xdr:row>6</xdr:row>
      <xdr:rowOff>293688</xdr:rowOff>
    </xdr:to>
    <xdr:pic>
      <xdr:nvPicPr>
        <xdr:cNvPr id="13" name="Burnley">
          <a:extLst>
            <a:ext uri="{FF2B5EF4-FFF2-40B4-BE49-F238E27FC236}">
              <a16:creationId xmlns:a16="http://schemas.microsoft.com/office/drawing/2014/main" id="{AB89D83C-D681-946B-8EB8-750A04E2B7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557" y="2049463"/>
          <a:ext cx="220486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7</xdr:row>
      <xdr:rowOff>39688</xdr:rowOff>
    </xdr:from>
    <xdr:to>
      <xdr:col>0</xdr:col>
      <xdr:colOff>431800</xdr:colOff>
      <xdr:row>7</xdr:row>
      <xdr:rowOff>293688</xdr:rowOff>
    </xdr:to>
    <xdr:pic>
      <xdr:nvPicPr>
        <xdr:cNvPr id="15" name="Chelsea">
          <a:extLst>
            <a:ext uri="{FF2B5EF4-FFF2-40B4-BE49-F238E27FC236}">
              <a16:creationId xmlns:a16="http://schemas.microsoft.com/office/drawing/2014/main" id="{FEFC3E4B-35CB-4A0A-F387-BA337185BB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2382838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8</xdr:row>
      <xdr:rowOff>39688</xdr:rowOff>
    </xdr:from>
    <xdr:to>
      <xdr:col>0</xdr:col>
      <xdr:colOff>431800</xdr:colOff>
      <xdr:row>8</xdr:row>
      <xdr:rowOff>293688</xdr:rowOff>
    </xdr:to>
    <xdr:pic>
      <xdr:nvPicPr>
        <xdr:cNvPr id="17" name="Crystal Palace">
          <a:extLst>
            <a:ext uri="{FF2B5EF4-FFF2-40B4-BE49-F238E27FC236}">
              <a16:creationId xmlns:a16="http://schemas.microsoft.com/office/drawing/2014/main" id="{996ACF19-5C31-CC4E-B43E-28BC7931D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2716213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9</xdr:row>
      <xdr:rowOff>39688</xdr:rowOff>
    </xdr:from>
    <xdr:to>
      <xdr:col>0</xdr:col>
      <xdr:colOff>431800</xdr:colOff>
      <xdr:row>9</xdr:row>
      <xdr:rowOff>293688</xdr:rowOff>
    </xdr:to>
    <xdr:pic>
      <xdr:nvPicPr>
        <xdr:cNvPr id="19" name="Everton">
          <a:extLst>
            <a:ext uri="{FF2B5EF4-FFF2-40B4-BE49-F238E27FC236}">
              <a16:creationId xmlns:a16="http://schemas.microsoft.com/office/drawing/2014/main" id="{7C876596-0A08-73CA-4535-81B1A1DC29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3049588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10</xdr:row>
      <xdr:rowOff>39688</xdr:rowOff>
    </xdr:from>
    <xdr:to>
      <xdr:col>0</xdr:col>
      <xdr:colOff>431800</xdr:colOff>
      <xdr:row>10</xdr:row>
      <xdr:rowOff>293688</xdr:rowOff>
    </xdr:to>
    <xdr:pic>
      <xdr:nvPicPr>
        <xdr:cNvPr id="21" name="Fulham">
          <a:extLst>
            <a:ext uri="{FF2B5EF4-FFF2-40B4-BE49-F238E27FC236}">
              <a16:creationId xmlns:a16="http://schemas.microsoft.com/office/drawing/2014/main" id="{1F870D51-5900-B44D-DDD4-31263DD66C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3382963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201428</xdr:colOff>
      <xdr:row>11</xdr:row>
      <xdr:rowOff>39688</xdr:rowOff>
    </xdr:from>
    <xdr:to>
      <xdr:col>0</xdr:col>
      <xdr:colOff>408172</xdr:colOff>
      <xdr:row>11</xdr:row>
      <xdr:rowOff>293688</xdr:rowOff>
    </xdr:to>
    <xdr:pic>
      <xdr:nvPicPr>
        <xdr:cNvPr id="23" name="Leeds Utd">
          <a:extLst>
            <a:ext uri="{FF2B5EF4-FFF2-40B4-BE49-F238E27FC236}">
              <a16:creationId xmlns:a16="http://schemas.microsoft.com/office/drawing/2014/main" id="{5CC61F3D-F8C3-6EBF-2E29-798636F91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428" y="3716338"/>
          <a:ext cx="206744" cy="254000"/>
        </a:xfrm>
        <a:prstGeom prst="rect">
          <a:avLst/>
        </a:prstGeom>
      </xdr:spPr>
    </xdr:pic>
    <xdr:clientData/>
  </xdr:twoCellAnchor>
  <xdr:twoCellAnchor>
    <xdr:from>
      <xdr:col>0</xdr:col>
      <xdr:colOff>234950</xdr:colOff>
      <xdr:row>12</xdr:row>
      <xdr:rowOff>39688</xdr:rowOff>
    </xdr:from>
    <xdr:to>
      <xdr:col>0</xdr:col>
      <xdr:colOff>374650</xdr:colOff>
      <xdr:row>12</xdr:row>
      <xdr:rowOff>293688</xdr:rowOff>
    </xdr:to>
    <xdr:pic>
      <xdr:nvPicPr>
        <xdr:cNvPr id="25" name="Liverpool">
          <a:extLst>
            <a:ext uri="{FF2B5EF4-FFF2-40B4-BE49-F238E27FC236}">
              <a16:creationId xmlns:a16="http://schemas.microsoft.com/office/drawing/2014/main" id="{F8CAD9BB-8BBF-F017-01FA-D2B188D820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950" y="4049713"/>
          <a:ext cx="1397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13</xdr:row>
      <xdr:rowOff>39688</xdr:rowOff>
    </xdr:from>
    <xdr:to>
      <xdr:col>0</xdr:col>
      <xdr:colOff>431800</xdr:colOff>
      <xdr:row>13</xdr:row>
      <xdr:rowOff>293688</xdr:rowOff>
    </xdr:to>
    <xdr:pic>
      <xdr:nvPicPr>
        <xdr:cNvPr id="27" name="Man City">
          <a:extLst>
            <a:ext uri="{FF2B5EF4-FFF2-40B4-BE49-F238E27FC236}">
              <a16:creationId xmlns:a16="http://schemas.microsoft.com/office/drawing/2014/main" id="{BB051E5D-B3AB-A7AE-7BA6-9E6F77DC5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4383088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14</xdr:row>
      <xdr:rowOff>39688</xdr:rowOff>
    </xdr:from>
    <xdr:to>
      <xdr:col>0</xdr:col>
      <xdr:colOff>431800</xdr:colOff>
      <xdr:row>14</xdr:row>
      <xdr:rowOff>293688</xdr:rowOff>
    </xdr:to>
    <xdr:pic>
      <xdr:nvPicPr>
        <xdr:cNvPr id="29" name="Man Utd">
          <a:extLst>
            <a:ext uri="{FF2B5EF4-FFF2-40B4-BE49-F238E27FC236}">
              <a16:creationId xmlns:a16="http://schemas.microsoft.com/office/drawing/2014/main" id="{FCFE253D-CDB4-3246-354F-9432639BB4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4716463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15</xdr:row>
      <xdr:rowOff>39688</xdr:rowOff>
    </xdr:from>
    <xdr:to>
      <xdr:col>0</xdr:col>
      <xdr:colOff>431800</xdr:colOff>
      <xdr:row>15</xdr:row>
      <xdr:rowOff>293688</xdr:rowOff>
    </xdr:to>
    <xdr:pic>
      <xdr:nvPicPr>
        <xdr:cNvPr id="31" name="Newcastle">
          <a:extLst>
            <a:ext uri="{FF2B5EF4-FFF2-40B4-BE49-F238E27FC236}">
              <a16:creationId xmlns:a16="http://schemas.microsoft.com/office/drawing/2014/main" id="{E67B09F9-2D17-5F5F-973F-FB3B0663B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5049838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16</xdr:row>
      <xdr:rowOff>39688</xdr:rowOff>
    </xdr:from>
    <xdr:to>
      <xdr:col>0</xdr:col>
      <xdr:colOff>431800</xdr:colOff>
      <xdr:row>16</xdr:row>
      <xdr:rowOff>293688</xdr:rowOff>
    </xdr:to>
    <xdr:pic>
      <xdr:nvPicPr>
        <xdr:cNvPr id="33" name="Nott'm Forest">
          <a:extLst>
            <a:ext uri="{FF2B5EF4-FFF2-40B4-BE49-F238E27FC236}">
              <a16:creationId xmlns:a16="http://schemas.microsoft.com/office/drawing/2014/main" id="{36BCAE25-C693-D665-10DB-22189856B8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5383213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17</xdr:row>
      <xdr:rowOff>39688</xdr:rowOff>
    </xdr:from>
    <xdr:to>
      <xdr:col>0</xdr:col>
      <xdr:colOff>431800</xdr:colOff>
      <xdr:row>17</xdr:row>
      <xdr:rowOff>293688</xdr:rowOff>
    </xdr:to>
    <xdr:pic>
      <xdr:nvPicPr>
        <xdr:cNvPr id="35" name="Spurs">
          <a:extLst>
            <a:ext uri="{FF2B5EF4-FFF2-40B4-BE49-F238E27FC236}">
              <a16:creationId xmlns:a16="http://schemas.microsoft.com/office/drawing/2014/main" id="{055C7C25-67F5-8278-76D9-BEFCD8F2FE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5716588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152634</xdr:colOff>
      <xdr:row>18</xdr:row>
      <xdr:rowOff>39688</xdr:rowOff>
    </xdr:from>
    <xdr:to>
      <xdr:col>0</xdr:col>
      <xdr:colOff>456966</xdr:colOff>
      <xdr:row>18</xdr:row>
      <xdr:rowOff>293688</xdr:rowOff>
    </xdr:to>
    <xdr:pic>
      <xdr:nvPicPr>
        <xdr:cNvPr id="37" name="Sunderland">
          <a:extLst>
            <a:ext uri="{FF2B5EF4-FFF2-40B4-BE49-F238E27FC236}">
              <a16:creationId xmlns:a16="http://schemas.microsoft.com/office/drawing/2014/main" id="{0F4341A1-8EC0-A562-2250-2D8ED128DC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634" y="6049963"/>
          <a:ext cx="304332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19</xdr:row>
      <xdr:rowOff>39688</xdr:rowOff>
    </xdr:from>
    <xdr:to>
      <xdr:col>0</xdr:col>
      <xdr:colOff>431800</xdr:colOff>
      <xdr:row>19</xdr:row>
      <xdr:rowOff>293688</xdr:rowOff>
    </xdr:to>
    <xdr:pic>
      <xdr:nvPicPr>
        <xdr:cNvPr id="39" name="West Ham">
          <a:extLst>
            <a:ext uri="{FF2B5EF4-FFF2-40B4-BE49-F238E27FC236}">
              <a16:creationId xmlns:a16="http://schemas.microsoft.com/office/drawing/2014/main" id="{BCF62AFA-355B-FBC7-7746-FCB1AB0363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6383338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177800</xdr:colOff>
      <xdr:row>20</xdr:row>
      <xdr:rowOff>44450</xdr:rowOff>
    </xdr:from>
    <xdr:to>
      <xdr:col>0</xdr:col>
      <xdr:colOff>431800</xdr:colOff>
      <xdr:row>20</xdr:row>
      <xdr:rowOff>298450</xdr:rowOff>
    </xdr:to>
    <xdr:pic>
      <xdr:nvPicPr>
        <xdr:cNvPr id="41" name="Wolves">
          <a:extLst>
            <a:ext uri="{FF2B5EF4-FFF2-40B4-BE49-F238E27FC236}">
              <a16:creationId xmlns:a16="http://schemas.microsoft.com/office/drawing/2014/main" id="{679722FA-AE65-5A0B-E644-1B8E86B8D5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00" y="6721475"/>
          <a:ext cx="254000" cy="254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132</xdr:col>
      <xdr:colOff>379096</xdr:colOff>
      <xdr:row>0</xdr:row>
      <xdr:rowOff>66675</xdr:rowOff>
    </xdr:from>
    <xdr:to>
      <xdr:col>132</xdr:col>
      <xdr:colOff>630556</xdr:colOff>
      <xdr:row>0</xdr:row>
      <xdr:rowOff>523875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48D6BEE-5B53-EF19-9494-0FF8B2F2D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12971" y="66675"/>
          <a:ext cx="251460" cy="4572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2</xdr:row>
      <xdr:rowOff>39688</xdr:rowOff>
    </xdr:from>
    <xdr:to>
      <xdr:col>135</xdr:col>
      <xdr:colOff>460375</xdr:colOff>
      <xdr:row>2</xdr:row>
      <xdr:rowOff>293688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33DE037-4192-57D2-F2B3-0D7D63971D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963613"/>
          <a:ext cx="254000" cy="254000"/>
        </a:xfrm>
        <a:prstGeom prst="rect">
          <a:avLst/>
        </a:prstGeom>
      </xdr:spPr>
    </xdr:pic>
    <xdr:clientData/>
  </xdr:twoCellAnchor>
  <xdr:twoCellAnchor>
    <xdr:from>
      <xdr:col>24</xdr:col>
      <xdr:colOff>276225</xdr:colOff>
      <xdr:row>0</xdr:row>
      <xdr:rowOff>66675</xdr:rowOff>
    </xdr:from>
    <xdr:to>
      <xdr:col>24</xdr:col>
      <xdr:colOff>733425</xdr:colOff>
      <xdr:row>0</xdr:row>
      <xdr:rowOff>523875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B319A3EB-C0A5-25C1-83E0-3AF0B1448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82875" y="66675"/>
          <a:ext cx="457200" cy="457200"/>
        </a:xfrm>
        <a:prstGeom prst="rect">
          <a:avLst/>
        </a:prstGeom>
      </xdr:spPr>
    </xdr:pic>
    <xdr:clientData/>
  </xdr:twoCellAnchor>
  <xdr:twoCellAnchor>
    <xdr:from>
      <xdr:col>27</xdr:col>
      <xdr:colOff>263525</xdr:colOff>
      <xdr:row>2</xdr:row>
      <xdr:rowOff>39688</xdr:rowOff>
    </xdr:from>
    <xdr:to>
      <xdr:col>27</xdr:col>
      <xdr:colOff>403225</xdr:colOff>
      <xdr:row>2</xdr:row>
      <xdr:rowOff>293688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5F11B9B4-58B4-8433-5523-354621242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03825" y="963613"/>
          <a:ext cx="139700" cy="254000"/>
        </a:xfrm>
        <a:prstGeom prst="rect">
          <a:avLst/>
        </a:prstGeom>
      </xdr:spPr>
    </xdr:pic>
    <xdr:clientData/>
  </xdr:twoCellAnchor>
  <xdr:twoCellAnchor>
    <xdr:from>
      <xdr:col>12</xdr:col>
      <xdr:colOff>276225</xdr:colOff>
      <xdr:row>0</xdr:row>
      <xdr:rowOff>66675</xdr:rowOff>
    </xdr:from>
    <xdr:to>
      <xdr:col>12</xdr:col>
      <xdr:colOff>733425</xdr:colOff>
      <xdr:row>0</xdr:row>
      <xdr:rowOff>523875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158487D5-1A55-C227-CB74-561B66A3F6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5775" y="66675"/>
          <a:ext cx="457200" cy="4572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2</xdr:row>
      <xdr:rowOff>39688</xdr:rowOff>
    </xdr:from>
    <xdr:to>
      <xdr:col>15</xdr:col>
      <xdr:colOff>460375</xdr:colOff>
      <xdr:row>2</xdr:row>
      <xdr:rowOff>293688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F2192547-74C0-C264-F4A7-D29FD2A2D4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963613"/>
          <a:ext cx="254000" cy="254000"/>
        </a:xfrm>
        <a:prstGeom prst="rect">
          <a:avLst/>
        </a:prstGeom>
      </xdr:spPr>
    </xdr:pic>
    <xdr:clientData/>
  </xdr:twoCellAnchor>
  <xdr:twoCellAnchor>
    <xdr:from>
      <xdr:col>168</xdr:col>
      <xdr:colOff>276225</xdr:colOff>
      <xdr:row>0</xdr:row>
      <xdr:rowOff>66675</xdr:rowOff>
    </xdr:from>
    <xdr:to>
      <xdr:col>168</xdr:col>
      <xdr:colOff>733425</xdr:colOff>
      <xdr:row>0</xdr:row>
      <xdr:rowOff>523875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A3260969-41DA-675A-03AE-28C188ADCB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612825" y="66675"/>
          <a:ext cx="457200" cy="4572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2</xdr:row>
      <xdr:rowOff>39688</xdr:rowOff>
    </xdr:from>
    <xdr:to>
      <xdr:col>171</xdr:col>
      <xdr:colOff>460375</xdr:colOff>
      <xdr:row>2</xdr:row>
      <xdr:rowOff>293688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EE8E9D48-E2C8-CB17-1B55-C80B5282A2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963613"/>
          <a:ext cx="254000" cy="254000"/>
        </a:xfrm>
        <a:prstGeom prst="rect">
          <a:avLst/>
        </a:prstGeom>
      </xdr:spPr>
    </xdr:pic>
    <xdr:clientData/>
  </xdr:twoCellAnchor>
  <xdr:twoCellAnchor>
    <xdr:from>
      <xdr:col>48</xdr:col>
      <xdr:colOff>276225</xdr:colOff>
      <xdr:row>0</xdr:row>
      <xdr:rowOff>66675</xdr:rowOff>
    </xdr:from>
    <xdr:to>
      <xdr:col>48</xdr:col>
      <xdr:colOff>733425</xdr:colOff>
      <xdr:row>0</xdr:row>
      <xdr:rowOff>523875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830143E0-99C5-24DC-ECF5-CC5981D43E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918025" y="66675"/>
          <a:ext cx="457200" cy="4572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2</xdr:row>
      <xdr:rowOff>39688</xdr:rowOff>
    </xdr:from>
    <xdr:to>
      <xdr:col>51</xdr:col>
      <xdr:colOff>460375</xdr:colOff>
      <xdr:row>2</xdr:row>
      <xdr:rowOff>293688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564693AD-2FDB-80C2-6E11-C91E064161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963613"/>
          <a:ext cx="254000" cy="254000"/>
        </a:xfrm>
        <a:prstGeom prst="rect">
          <a:avLst/>
        </a:prstGeom>
      </xdr:spPr>
    </xdr:pic>
    <xdr:clientData/>
  </xdr:twoCellAnchor>
  <xdr:twoCellAnchor>
    <xdr:from>
      <xdr:col>108</xdr:col>
      <xdr:colOff>276225</xdr:colOff>
      <xdr:row>0</xdr:row>
      <xdr:rowOff>66675</xdr:rowOff>
    </xdr:from>
    <xdr:to>
      <xdr:col>108</xdr:col>
      <xdr:colOff>733425</xdr:colOff>
      <xdr:row>0</xdr:row>
      <xdr:rowOff>523875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1B0B102D-9CF2-3722-090A-EC25B2575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274950" y="66675"/>
          <a:ext cx="457200" cy="4572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2</xdr:row>
      <xdr:rowOff>39688</xdr:rowOff>
    </xdr:from>
    <xdr:to>
      <xdr:col>111</xdr:col>
      <xdr:colOff>460375</xdr:colOff>
      <xdr:row>2</xdr:row>
      <xdr:rowOff>293688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82BC300F-0EC9-CA8A-6661-F939580DFD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963613"/>
          <a:ext cx="254000" cy="254000"/>
        </a:xfrm>
        <a:prstGeom prst="rect">
          <a:avLst/>
        </a:prstGeom>
      </xdr:spPr>
    </xdr:pic>
    <xdr:clientData/>
  </xdr:twoCellAnchor>
  <xdr:twoCellAnchor>
    <xdr:from>
      <xdr:col>192</xdr:col>
      <xdr:colOff>393452</xdr:colOff>
      <xdr:row>0</xdr:row>
      <xdr:rowOff>66675</xdr:rowOff>
    </xdr:from>
    <xdr:to>
      <xdr:col>192</xdr:col>
      <xdr:colOff>616205</xdr:colOff>
      <xdr:row>0</xdr:row>
      <xdr:rowOff>523875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BD5F668E-8E21-0994-12D1-6C32EAC0A8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65202" y="66675"/>
          <a:ext cx="222753" cy="457200"/>
        </a:xfrm>
        <a:prstGeom prst="rect">
          <a:avLst/>
        </a:prstGeom>
      </xdr:spPr>
    </xdr:pic>
    <xdr:clientData/>
  </xdr:twoCellAnchor>
  <xdr:twoCellAnchor>
    <xdr:from>
      <xdr:col>195</xdr:col>
      <xdr:colOff>223131</xdr:colOff>
      <xdr:row>2</xdr:row>
      <xdr:rowOff>39688</xdr:rowOff>
    </xdr:from>
    <xdr:to>
      <xdr:col>195</xdr:col>
      <xdr:colOff>443617</xdr:colOff>
      <xdr:row>2</xdr:row>
      <xdr:rowOff>293688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1088B3CC-D93A-B5C4-5915-C7DD642E5C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19006" y="963613"/>
          <a:ext cx="220486" cy="254000"/>
        </a:xfrm>
        <a:prstGeom prst="rect">
          <a:avLst/>
        </a:prstGeom>
      </xdr:spPr>
    </xdr:pic>
    <xdr:clientData/>
  </xdr:twoCellAnchor>
  <xdr:twoCellAnchor>
    <xdr:from>
      <xdr:col>60</xdr:col>
      <xdr:colOff>306388</xdr:colOff>
      <xdr:row>0</xdr:row>
      <xdr:rowOff>66675</xdr:rowOff>
    </xdr:from>
    <xdr:to>
      <xdr:col>60</xdr:col>
      <xdr:colOff>703263</xdr:colOff>
      <xdr:row>0</xdr:row>
      <xdr:rowOff>523875</xdr:rowOff>
    </xdr:to>
    <xdr:pic>
      <xdr:nvPicPr>
        <xdr:cNvPr id="46" name="Picture 45">
          <a:extLst>
            <a:ext uri="{FF2B5EF4-FFF2-40B4-BE49-F238E27FC236}">
              <a16:creationId xmlns:a16="http://schemas.microsoft.com/office/drawing/2014/main" id="{24625CAF-D0DB-A1E2-50CB-25C1FFA115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25288" y="66675"/>
          <a:ext cx="396875" cy="4572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2</xdr:row>
      <xdr:rowOff>39688</xdr:rowOff>
    </xdr:from>
    <xdr:to>
      <xdr:col>63</xdr:col>
      <xdr:colOff>460375</xdr:colOff>
      <xdr:row>2</xdr:row>
      <xdr:rowOff>293688</xdr:rowOff>
    </xdr:to>
    <xdr:pic>
      <xdr:nvPicPr>
        <xdr:cNvPr id="49" name="Picture 48">
          <a:extLst>
            <a:ext uri="{FF2B5EF4-FFF2-40B4-BE49-F238E27FC236}">
              <a16:creationId xmlns:a16="http://schemas.microsoft.com/office/drawing/2014/main" id="{0AE48E90-B613-BE17-6AF1-82DEF813B3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963613"/>
          <a:ext cx="254000" cy="254000"/>
        </a:xfrm>
        <a:prstGeom prst="rect">
          <a:avLst/>
        </a:prstGeom>
      </xdr:spPr>
    </xdr:pic>
    <xdr:clientData/>
  </xdr:twoCellAnchor>
  <xdr:twoCellAnchor>
    <xdr:from>
      <xdr:col>204</xdr:col>
      <xdr:colOff>230932</xdr:colOff>
      <xdr:row>0</xdr:row>
      <xdr:rowOff>66675</xdr:rowOff>
    </xdr:from>
    <xdr:to>
      <xdr:col>204</xdr:col>
      <xdr:colOff>778729</xdr:colOff>
      <xdr:row>0</xdr:row>
      <xdr:rowOff>523875</xdr:rowOff>
    </xdr:to>
    <xdr:pic>
      <xdr:nvPicPr>
        <xdr:cNvPr id="52" name="Picture 51">
          <a:extLst>
            <a:ext uri="{FF2B5EF4-FFF2-40B4-BE49-F238E27FC236}">
              <a16:creationId xmlns:a16="http://schemas.microsoft.com/office/drawing/2014/main" id="{4B7257E1-60CA-0E43-2F94-679B0F7F4C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370257" y="66675"/>
          <a:ext cx="547797" cy="4572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2</xdr:row>
      <xdr:rowOff>39688</xdr:rowOff>
    </xdr:from>
    <xdr:to>
      <xdr:col>207</xdr:col>
      <xdr:colOff>460375</xdr:colOff>
      <xdr:row>2</xdr:row>
      <xdr:rowOff>293688</xdr:rowOff>
    </xdr:to>
    <xdr:pic>
      <xdr:nvPicPr>
        <xdr:cNvPr id="54" name="Picture 53">
          <a:extLst>
            <a:ext uri="{FF2B5EF4-FFF2-40B4-BE49-F238E27FC236}">
              <a16:creationId xmlns:a16="http://schemas.microsoft.com/office/drawing/2014/main" id="{2161AA09-BC91-36F8-A17D-E77206E70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963613"/>
          <a:ext cx="254000" cy="254000"/>
        </a:xfrm>
        <a:prstGeom prst="rect">
          <a:avLst/>
        </a:prstGeom>
      </xdr:spPr>
    </xdr:pic>
    <xdr:clientData/>
  </xdr:twoCellAnchor>
  <xdr:twoCellAnchor>
    <xdr:from>
      <xdr:col>216</xdr:col>
      <xdr:colOff>276225</xdr:colOff>
      <xdr:row>0</xdr:row>
      <xdr:rowOff>66675</xdr:rowOff>
    </xdr:from>
    <xdr:to>
      <xdr:col>216</xdr:col>
      <xdr:colOff>733425</xdr:colOff>
      <xdr:row>0</xdr:row>
      <xdr:rowOff>523875</xdr:rowOff>
    </xdr:to>
    <xdr:pic>
      <xdr:nvPicPr>
        <xdr:cNvPr id="57" name="Picture 56">
          <a:extLst>
            <a:ext uri="{FF2B5EF4-FFF2-40B4-BE49-F238E27FC236}">
              <a16:creationId xmlns:a16="http://schemas.microsoft.com/office/drawing/2014/main" id="{D8E80F97-97AE-EA6E-4FFE-4352059339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683125" y="66675"/>
          <a:ext cx="457200" cy="457200"/>
        </a:xfrm>
        <a:prstGeom prst="rect">
          <a:avLst/>
        </a:prstGeom>
      </xdr:spPr>
    </xdr:pic>
    <xdr:clientData/>
  </xdr:twoCellAnchor>
  <xdr:twoCellAnchor>
    <xdr:from>
      <xdr:col>219</xdr:col>
      <xdr:colOff>181211</xdr:colOff>
      <xdr:row>2</xdr:row>
      <xdr:rowOff>39688</xdr:rowOff>
    </xdr:from>
    <xdr:to>
      <xdr:col>219</xdr:col>
      <xdr:colOff>485543</xdr:colOff>
      <xdr:row>2</xdr:row>
      <xdr:rowOff>293688</xdr:rowOff>
    </xdr:to>
    <xdr:pic>
      <xdr:nvPicPr>
        <xdr:cNvPr id="60" name="Picture 59">
          <a:extLst>
            <a:ext uri="{FF2B5EF4-FFF2-40B4-BE49-F238E27FC236}">
              <a16:creationId xmlns:a16="http://schemas.microsoft.com/office/drawing/2014/main" id="{CCF5FA59-D9A6-A2EC-E1DD-FA2E0B4C91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12236" y="963613"/>
          <a:ext cx="304332" cy="254000"/>
        </a:xfrm>
        <a:prstGeom prst="rect">
          <a:avLst/>
        </a:prstGeom>
      </xdr:spPr>
    </xdr:pic>
    <xdr:clientData/>
  </xdr:twoCellAnchor>
  <xdr:twoCellAnchor>
    <xdr:from>
      <xdr:col>228</xdr:col>
      <xdr:colOff>276225</xdr:colOff>
      <xdr:row>0</xdr:row>
      <xdr:rowOff>66675</xdr:rowOff>
    </xdr:from>
    <xdr:to>
      <xdr:col>228</xdr:col>
      <xdr:colOff>733425</xdr:colOff>
      <xdr:row>0</xdr:row>
      <xdr:rowOff>523875</xdr:rowOff>
    </xdr:to>
    <xdr:pic>
      <xdr:nvPicPr>
        <xdr:cNvPr id="63" name="Picture 62">
          <a:extLst>
            <a:ext uri="{FF2B5EF4-FFF2-40B4-BE49-F238E27FC236}">
              <a16:creationId xmlns:a16="http://schemas.microsoft.com/office/drawing/2014/main" id="{2809132D-80A8-4A0B-2B76-AF95B0FF8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950700" y="66675"/>
          <a:ext cx="457200" cy="4572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2</xdr:row>
      <xdr:rowOff>39688</xdr:rowOff>
    </xdr:from>
    <xdr:to>
      <xdr:col>231</xdr:col>
      <xdr:colOff>460375</xdr:colOff>
      <xdr:row>2</xdr:row>
      <xdr:rowOff>293688</xdr:rowOff>
    </xdr:to>
    <xdr:pic>
      <xdr:nvPicPr>
        <xdr:cNvPr id="66" name="Picture 65">
          <a:extLst>
            <a:ext uri="{FF2B5EF4-FFF2-40B4-BE49-F238E27FC236}">
              <a16:creationId xmlns:a16="http://schemas.microsoft.com/office/drawing/2014/main" id="{684CBFC9-D687-1818-CD9F-B107095D31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963613"/>
          <a:ext cx="254000" cy="254000"/>
        </a:xfrm>
        <a:prstGeom prst="rect">
          <a:avLst/>
        </a:prstGeom>
      </xdr:spPr>
    </xdr:pic>
    <xdr:clientData/>
  </xdr:twoCellAnchor>
  <xdr:twoCellAnchor>
    <xdr:from>
      <xdr:col>144</xdr:col>
      <xdr:colOff>276225</xdr:colOff>
      <xdr:row>0</xdr:row>
      <xdr:rowOff>66675</xdr:rowOff>
    </xdr:from>
    <xdr:to>
      <xdr:col>144</xdr:col>
      <xdr:colOff>733425</xdr:colOff>
      <xdr:row>0</xdr:row>
      <xdr:rowOff>523875</xdr:rowOff>
    </xdr:to>
    <xdr:pic>
      <xdr:nvPicPr>
        <xdr:cNvPr id="69" name="Picture 68">
          <a:extLst>
            <a:ext uri="{FF2B5EF4-FFF2-40B4-BE49-F238E27FC236}">
              <a16:creationId xmlns:a16="http://schemas.microsoft.com/office/drawing/2014/main" id="{F41F8A33-3068-8DD9-81B4-5D015C54C1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077675" y="66675"/>
          <a:ext cx="457200" cy="4572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2</xdr:row>
      <xdr:rowOff>39688</xdr:rowOff>
    </xdr:from>
    <xdr:to>
      <xdr:col>147</xdr:col>
      <xdr:colOff>460375</xdr:colOff>
      <xdr:row>2</xdr:row>
      <xdr:rowOff>293688</xdr:rowOff>
    </xdr:to>
    <xdr:pic>
      <xdr:nvPicPr>
        <xdr:cNvPr id="72" name="Picture 71">
          <a:extLst>
            <a:ext uri="{FF2B5EF4-FFF2-40B4-BE49-F238E27FC236}">
              <a16:creationId xmlns:a16="http://schemas.microsoft.com/office/drawing/2014/main" id="{DF6D8245-59B9-5D99-F20B-054F4915F8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963613"/>
          <a:ext cx="254000" cy="254000"/>
        </a:xfrm>
        <a:prstGeom prst="rect">
          <a:avLst/>
        </a:prstGeom>
      </xdr:spPr>
    </xdr:pic>
    <xdr:clientData/>
  </xdr:twoCellAnchor>
  <xdr:twoCellAnchor>
    <xdr:from>
      <xdr:col>72</xdr:col>
      <xdr:colOff>276225</xdr:colOff>
      <xdr:row>0</xdr:row>
      <xdr:rowOff>66675</xdr:rowOff>
    </xdr:from>
    <xdr:to>
      <xdr:col>72</xdr:col>
      <xdr:colOff>733425</xdr:colOff>
      <xdr:row>0</xdr:row>
      <xdr:rowOff>523875</xdr:rowOff>
    </xdr:to>
    <xdr:pic>
      <xdr:nvPicPr>
        <xdr:cNvPr id="75" name="Picture 74">
          <a:extLst>
            <a:ext uri="{FF2B5EF4-FFF2-40B4-BE49-F238E27FC236}">
              <a16:creationId xmlns:a16="http://schemas.microsoft.com/office/drawing/2014/main" id="{18C5DBEB-DABE-3AAD-9C92-8664F811DC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472225" y="66675"/>
          <a:ext cx="457200" cy="4572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2</xdr:row>
      <xdr:rowOff>39688</xdr:rowOff>
    </xdr:from>
    <xdr:to>
      <xdr:col>75</xdr:col>
      <xdr:colOff>460375</xdr:colOff>
      <xdr:row>2</xdr:row>
      <xdr:rowOff>293688</xdr:rowOff>
    </xdr:to>
    <xdr:pic>
      <xdr:nvPicPr>
        <xdr:cNvPr id="78" name="Picture 77">
          <a:extLst>
            <a:ext uri="{FF2B5EF4-FFF2-40B4-BE49-F238E27FC236}">
              <a16:creationId xmlns:a16="http://schemas.microsoft.com/office/drawing/2014/main" id="{D755A828-B5BC-4688-63FD-BAE16A9F0A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963613"/>
          <a:ext cx="254000" cy="254000"/>
        </a:xfrm>
        <a:prstGeom prst="rect">
          <a:avLst/>
        </a:prstGeom>
      </xdr:spPr>
    </xdr:pic>
    <xdr:clientData/>
  </xdr:twoCellAnchor>
  <xdr:twoCellAnchor>
    <xdr:from>
      <xdr:col>84</xdr:col>
      <xdr:colOff>276225</xdr:colOff>
      <xdr:row>0</xdr:row>
      <xdr:rowOff>66675</xdr:rowOff>
    </xdr:from>
    <xdr:to>
      <xdr:col>84</xdr:col>
      <xdr:colOff>733425</xdr:colOff>
      <xdr:row>0</xdr:row>
      <xdr:rowOff>523875</xdr:rowOff>
    </xdr:to>
    <xdr:pic>
      <xdr:nvPicPr>
        <xdr:cNvPr id="81" name="Picture 80">
          <a:extLst>
            <a:ext uri="{FF2B5EF4-FFF2-40B4-BE49-F238E27FC236}">
              <a16:creationId xmlns:a16="http://schemas.microsoft.com/office/drawing/2014/main" id="{DABC8A88-8D03-75EF-85B9-6BE4C2F14E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739800" y="66675"/>
          <a:ext cx="457200" cy="4572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2</xdr:row>
      <xdr:rowOff>39688</xdr:rowOff>
    </xdr:from>
    <xdr:to>
      <xdr:col>87</xdr:col>
      <xdr:colOff>460375</xdr:colOff>
      <xdr:row>2</xdr:row>
      <xdr:rowOff>293688</xdr:rowOff>
    </xdr:to>
    <xdr:pic>
      <xdr:nvPicPr>
        <xdr:cNvPr id="84" name="Picture 83">
          <a:extLst>
            <a:ext uri="{FF2B5EF4-FFF2-40B4-BE49-F238E27FC236}">
              <a16:creationId xmlns:a16="http://schemas.microsoft.com/office/drawing/2014/main" id="{DCA459C7-1DBE-A2DC-CA24-124EE9E261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963613"/>
          <a:ext cx="254000" cy="254000"/>
        </a:xfrm>
        <a:prstGeom prst="rect">
          <a:avLst/>
        </a:prstGeom>
      </xdr:spPr>
    </xdr:pic>
    <xdr:clientData/>
  </xdr:twoCellAnchor>
  <xdr:twoCellAnchor>
    <xdr:from>
      <xdr:col>180</xdr:col>
      <xdr:colOff>376808</xdr:colOff>
      <xdr:row>0</xdr:row>
      <xdr:rowOff>66675</xdr:rowOff>
    </xdr:from>
    <xdr:to>
      <xdr:col>180</xdr:col>
      <xdr:colOff>632840</xdr:colOff>
      <xdr:row>0</xdr:row>
      <xdr:rowOff>523875</xdr:rowOff>
    </xdr:to>
    <xdr:pic>
      <xdr:nvPicPr>
        <xdr:cNvPr id="87" name="Picture 86">
          <a:extLst>
            <a:ext uri="{FF2B5EF4-FFF2-40B4-BE49-F238E27FC236}">
              <a16:creationId xmlns:a16="http://schemas.microsoft.com/office/drawing/2014/main" id="{2621B5EA-CF3F-B9E7-514D-219ECE2133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980983" y="66675"/>
          <a:ext cx="256032" cy="4572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2</xdr:row>
      <xdr:rowOff>39688</xdr:rowOff>
    </xdr:from>
    <xdr:to>
      <xdr:col>183</xdr:col>
      <xdr:colOff>460375</xdr:colOff>
      <xdr:row>2</xdr:row>
      <xdr:rowOff>293688</xdr:rowOff>
    </xdr:to>
    <xdr:pic>
      <xdr:nvPicPr>
        <xdr:cNvPr id="90" name="Picture 89">
          <a:extLst>
            <a:ext uri="{FF2B5EF4-FFF2-40B4-BE49-F238E27FC236}">
              <a16:creationId xmlns:a16="http://schemas.microsoft.com/office/drawing/2014/main" id="{3BB58892-5876-9208-9A2B-3F29A9E45C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963613"/>
          <a:ext cx="254000" cy="254000"/>
        </a:xfrm>
        <a:prstGeom prst="rect">
          <a:avLst/>
        </a:prstGeom>
      </xdr:spPr>
    </xdr:pic>
    <xdr:clientData/>
  </xdr:twoCellAnchor>
  <xdr:twoCellAnchor>
    <xdr:from>
      <xdr:col>36</xdr:col>
      <xdr:colOff>276225</xdr:colOff>
      <xdr:row>0</xdr:row>
      <xdr:rowOff>66675</xdr:rowOff>
    </xdr:from>
    <xdr:to>
      <xdr:col>36</xdr:col>
      <xdr:colOff>733425</xdr:colOff>
      <xdr:row>0</xdr:row>
      <xdr:rowOff>523875</xdr:rowOff>
    </xdr:to>
    <xdr:pic>
      <xdr:nvPicPr>
        <xdr:cNvPr id="93" name="Picture 92">
          <a:extLst>
            <a:ext uri="{FF2B5EF4-FFF2-40B4-BE49-F238E27FC236}">
              <a16:creationId xmlns:a16="http://schemas.microsoft.com/office/drawing/2014/main" id="{D731A2DD-E1F1-587A-5055-064FC5F0C5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40925" y="66675"/>
          <a:ext cx="457200" cy="4572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2</xdr:row>
      <xdr:rowOff>39688</xdr:rowOff>
    </xdr:from>
    <xdr:to>
      <xdr:col>39</xdr:col>
      <xdr:colOff>460375</xdr:colOff>
      <xdr:row>2</xdr:row>
      <xdr:rowOff>293688</xdr:rowOff>
    </xdr:to>
    <xdr:pic>
      <xdr:nvPicPr>
        <xdr:cNvPr id="96" name="Picture 95">
          <a:extLst>
            <a:ext uri="{FF2B5EF4-FFF2-40B4-BE49-F238E27FC236}">
              <a16:creationId xmlns:a16="http://schemas.microsoft.com/office/drawing/2014/main" id="{B2640643-35D7-8027-A459-4303DA1F3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963613"/>
          <a:ext cx="254000" cy="254000"/>
        </a:xfrm>
        <a:prstGeom prst="rect">
          <a:avLst/>
        </a:prstGeom>
      </xdr:spPr>
    </xdr:pic>
    <xdr:clientData/>
  </xdr:twoCellAnchor>
  <xdr:twoCellAnchor>
    <xdr:from>
      <xdr:col>156</xdr:col>
      <xdr:colOff>276225</xdr:colOff>
      <xdr:row>0</xdr:row>
      <xdr:rowOff>66675</xdr:rowOff>
    </xdr:from>
    <xdr:to>
      <xdr:col>156</xdr:col>
      <xdr:colOff>733425</xdr:colOff>
      <xdr:row>0</xdr:row>
      <xdr:rowOff>523875</xdr:rowOff>
    </xdr:to>
    <xdr:pic>
      <xdr:nvPicPr>
        <xdr:cNvPr id="99" name="Picture 98">
          <a:extLst>
            <a:ext uri="{FF2B5EF4-FFF2-40B4-BE49-F238E27FC236}">
              <a16:creationId xmlns:a16="http://schemas.microsoft.com/office/drawing/2014/main" id="{B86F5D54-2CB3-1DF5-58D7-E31A49A641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345250" y="66675"/>
          <a:ext cx="457200" cy="4572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2</xdr:row>
      <xdr:rowOff>39688</xdr:rowOff>
    </xdr:from>
    <xdr:to>
      <xdr:col>159</xdr:col>
      <xdr:colOff>460375</xdr:colOff>
      <xdr:row>2</xdr:row>
      <xdr:rowOff>293688</xdr:rowOff>
    </xdr:to>
    <xdr:pic>
      <xdr:nvPicPr>
        <xdr:cNvPr id="102" name="Picture 101">
          <a:extLst>
            <a:ext uri="{FF2B5EF4-FFF2-40B4-BE49-F238E27FC236}">
              <a16:creationId xmlns:a16="http://schemas.microsoft.com/office/drawing/2014/main" id="{4F0358E5-989B-CE80-20E9-4DBB7E6AA8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963613"/>
          <a:ext cx="254000" cy="254000"/>
        </a:xfrm>
        <a:prstGeom prst="rect">
          <a:avLst/>
        </a:prstGeom>
      </xdr:spPr>
    </xdr:pic>
    <xdr:clientData/>
  </xdr:twoCellAnchor>
  <xdr:twoCellAnchor>
    <xdr:from>
      <xdr:col>0</xdr:col>
      <xdr:colOff>276225</xdr:colOff>
      <xdr:row>0</xdr:row>
      <xdr:rowOff>66675</xdr:rowOff>
    </xdr:from>
    <xdr:to>
      <xdr:col>0</xdr:col>
      <xdr:colOff>733425</xdr:colOff>
      <xdr:row>0</xdr:row>
      <xdr:rowOff>523875</xdr:rowOff>
    </xdr:to>
    <xdr:pic>
      <xdr:nvPicPr>
        <xdr:cNvPr id="105" name="Picture 104">
          <a:extLst>
            <a:ext uri="{FF2B5EF4-FFF2-40B4-BE49-F238E27FC236}">
              <a16:creationId xmlns:a16="http://schemas.microsoft.com/office/drawing/2014/main" id="{CBE4066B-F5D4-41A1-CFE8-0ECDAD8048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66675"/>
          <a:ext cx="457200" cy="4572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2</xdr:row>
      <xdr:rowOff>39688</xdr:rowOff>
    </xdr:from>
    <xdr:to>
      <xdr:col>3</xdr:col>
      <xdr:colOff>460375</xdr:colOff>
      <xdr:row>2</xdr:row>
      <xdr:rowOff>293688</xdr:rowOff>
    </xdr:to>
    <xdr:pic>
      <xdr:nvPicPr>
        <xdr:cNvPr id="108" name="Picture 107">
          <a:extLst>
            <a:ext uri="{FF2B5EF4-FFF2-40B4-BE49-F238E27FC236}">
              <a16:creationId xmlns:a16="http://schemas.microsoft.com/office/drawing/2014/main" id="{8C90A5BB-BED5-C75A-48B0-DA4BD5C335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963613"/>
          <a:ext cx="254000" cy="254000"/>
        </a:xfrm>
        <a:prstGeom prst="rect">
          <a:avLst/>
        </a:prstGeom>
      </xdr:spPr>
    </xdr:pic>
    <xdr:clientData/>
  </xdr:twoCellAnchor>
  <xdr:twoCellAnchor>
    <xdr:from>
      <xdr:col>120</xdr:col>
      <xdr:colOff>318753</xdr:colOff>
      <xdr:row>0</xdr:row>
      <xdr:rowOff>66675</xdr:rowOff>
    </xdr:from>
    <xdr:to>
      <xdr:col>120</xdr:col>
      <xdr:colOff>690893</xdr:colOff>
      <xdr:row>0</xdr:row>
      <xdr:rowOff>523875</xdr:rowOff>
    </xdr:to>
    <xdr:pic>
      <xdr:nvPicPr>
        <xdr:cNvPr id="111" name="Picture 110">
          <a:extLst>
            <a:ext uri="{FF2B5EF4-FFF2-40B4-BE49-F238E27FC236}">
              <a16:creationId xmlns:a16="http://schemas.microsoft.com/office/drawing/2014/main" id="{6A2F6F3B-A431-B3BF-40A2-A22D83947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585053" y="66675"/>
          <a:ext cx="372140" cy="4572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2</xdr:row>
      <xdr:rowOff>39688</xdr:rowOff>
    </xdr:from>
    <xdr:to>
      <xdr:col>123</xdr:col>
      <xdr:colOff>460375</xdr:colOff>
      <xdr:row>2</xdr:row>
      <xdr:rowOff>293688</xdr:rowOff>
    </xdr:to>
    <xdr:pic>
      <xdr:nvPicPr>
        <xdr:cNvPr id="114" name="Picture 113">
          <a:extLst>
            <a:ext uri="{FF2B5EF4-FFF2-40B4-BE49-F238E27FC236}">
              <a16:creationId xmlns:a16="http://schemas.microsoft.com/office/drawing/2014/main" id="{ABE5D293-4988-8E4B-2BDD-CB148DA72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963613"/>
          <a:ext cx="254000" cy="254000"/>
        </a:xfrm>
        <a:prstGeom prst="rect">
          <a:avLst/>
        </a:prstGeom>
      </xdr:spPr>
    </xdr:pic>
    <xdr:clientData/>
  </xdr:twoCellAnchor>
  <xdr:twoCellAnchor>
    <xdr:from>
      <xdr:col>96</xdr:col>
      <xdr:colOff>276225</xdr:colOff>
      <xdr:row>0</xdr:row>
      <xdr:rowOff>66675</xdr:rowOff>
    </xdr:from>
    <xdr:to>
      <xdr:col>96</xdr:col>
      <xdr:colOff>733425</xdr:colOff>
      <xdr:row>0</xdr:row>
      <xdr:rowOff>523875</xdr:rowOff>
    </xdr:to>
    <xdr:pic>
      <xdr:nvPicPr>
        <xdr:cNvPr id="117" name="Picture 116">
          <a:extLst>
            <a:ext uri="{FF2B5EF4-FFF2-40B4-BE49-F238E27FC236}">
              <a16:creationId xmlns:a16="http://schemas.microsoft.com/office/drawing/2014/main" id="{F03D6CA5-22C6-30B1-5A04-D85600D728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07375" y="66675"/>
          <a:ext cx="457200" cy="457200"/>
        </a:xfrm>
        <a:prstGeom prst="rect">
          <a:avLst/>
        </a:prstGeom>
      </xdr:spPr>
    </xdr:pic>
    <xdr:clientData/>
  </xdr:twoCellAnchor>
  <xdr:twoCellAnchor>
    <xdr:from>
      <xdr:col>99</xdr:col>
      <xdr:colOff>230001</xdr:colOff>
      <xdr:row>2</xdr:row>
      <xdr:rowOff>39688</xdr:rowOff>
    </xdr:from>
    <xdr:to>
      <xdr:col>99</xdr:col>
      <xdr:colOff>436745</xdr:colOff>
      <xdr:row>2</xdr:row>
      <xdr:rowOff>293688</xdr:rowOff>
    </xdr:to>
    <xdr:pic>
      <xdr:nvPicPr>
        <xdr:cNvPr id="120" name="Picture 119">
          <a:extLst>
            <a:ext uri="{FF2B5EF4-FFF2-40B4-BE49-F238E27FC236}">
              <a16:creationId xmlns:a16="http://schemas.microsoft.com/office/drawing/2014/main" id="{FC342BA0-AC3B-FC99-16A2-3CBD930559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85276" y="963613"/>
          <a:ext cx="206744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3</xdr:row>
      <xdr:rowOff>39688</xdr:rowOff>
    </xdr:from>
    <xdr:to>
      <xdr:col>219</xdr:col>
      <xdr:colOff>460375</xdr:colOff>
      <xdr:row>3</xdr:row>
      <xdr:rowOff>293688</xdr:rowOff>
    </xdr:to>
    <xdr:pic>
      <xdr:nvPicPr>
        <xdr:cNvPr id="123" name="Picture 122">
          <a:extLst>
            <a:ext uri="{FF2B5EF4-FFF2-40B4-BE49-F238E27FC236}">
              <a16:creationId xmlns:a16="http://schemas.microsoft.com/office/drawing/2014/main" id="{2B6CF4B2-23E7-7A67-C38C-1AD27B972A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1296988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3</xdr:row>
      <xdr:rowOff>39688</xdr:rowOff>
    </xdr:from>
    <xdr:to>
      <xdr:col>75</xdr:col>
      <xdr:colOff>460375</xdr:colOff>
      <xdr:row>3</xdr:row>
      <xdr:rowOff>293688</xdr:rowOff>
    </xdr:to>
    <xdr:pic>
      <xdr:nvPicPr>
        <xdr:cNvPr id="126" name="Picture 125">
          <a:extLst>
            <a:ext uri="{FF2B5EF4-FFF2-40B4-BE49-F238E27FC236}">
              <a16:creationId xmlns:a16="http://schemas.microsoft.com/office/drawing/2014/main" id="{35FE7EF2-4887-470C-7979-CB52E1B53D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1296988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3</xdr:row>
      <xdr:rowOff>39688</xdr:rowOff>
    </xdr:from>
    <xdr:to>
      <xdr:col>147</xdr:col>
      <xdr:colOff>460375</xdr:colOff>
      <xdr:row>3</xdr:row>
      <xdr:rowOff>293688</xdr:rowOff>
    </xdr:to>
    <xdr:pic>
      <xdr:nvPicPr>
        <xdr:cNvPr id="129" name="Picture 128">
          <a:extLst>
            <a:ext uri="{FF2B5EF4-FFF2-40B4-BE49-F238E27FC236}">
              <a16:creationId xmlns:a16="http://schemas.microsoft.com/office/drawing/2014/main" id="{8F6D6408-FEAD-A400-4925-C5FC1EAE99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1296988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3</xdr:row>
      <xdr:rowOff>39688</xdr:rowOff>
    </xdr:from>
    <xdr:to>
      <xdr:col>195</xdr:col>
      <xdr:colOff>460375</xdr:colOff>
      <xdr:row>3</xdr:row>
      <xdr:rowOff>293688</xdr:rowOff>
    </xdr:to>
    <xdr:pic>
      <xdr:nvPicPr>
        <xdr:cNvPr id="132" name="Picture 131">
          <a:extLst>
            <a:ext uri="{FF2B5EF4-FFF2-40B4-BE49-F238E27FC236}">
              <a16:creationId xmlns:a16="http://schemas.microsoft.com/office/drawing/2014/main" id="{06CB2628-0279-B0A0-F4AE-3BBC09B37A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1296988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3</xdr:row>
      <xdr:rowOff>39688</xdr:rowOff>
    </xdr:from>
    <xdr:to>
      <xdr:col>27</xdr:col>
      <xdr:colOff>460375</xdr:colOff>
      <xdr:row>3</xdr:row>
      <xdr:rowOff>293688</xdr:rowOff>
    </xdr:to>
    <xdr:pic>
      <xdr:nvPicPr>
        <xdr:cNvPr id="135" name="Picture 134">
          <a:extLst>
            <a:ext uri="{FF2B5EF4-FFF2-40B4-BE49-F238E27FC236}">
              <a16:creationId xmlns:a16="http://schemas.microsoft.com/office/drawing/2014/main" id="{48AB0EEB-2C26-1602-41A0-5883599032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1296988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3</xdr:row>
      <xdr:rowOff>39688</xdr:rowOff>
    </xdr:from>
    <xdr:to>
      <xdr:col>231</xdr:col>
      <xdr:colOff>460375</xdr:colOff>
      <xdr:row>3</xdr:row>
      <xdr:rowOff>293688</xdr:rowOff>
    </xdr:to>
    <xdr:pic>
      <xdr:nvPicPr>
        <xdr:cNvPr id="138" name="Picture 137">
          <a:extLst>
            <a:ext uri="{FF2B5EF4-FFF2-40B4-BE49-F238E27FC236}">
              <a16:creationId xmlns:a16="http://schemas.microsoft.com/office/drawing/2014/main" id="{5D869ACA-BDA7-3CCD-6AFC-53ECB35EC9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1296988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3</xdr:row>
      <xdr:rowOff>39688</xdr:rowOff>
    </xdr:from>
    <xdr:to>
      <xdr:col>39</xdr:col>
      <xdr:colOff>460375</xdr:colOff>
      <xdr:row>3</xdr:row>
      <xdr:rowOff>293688</xdr:rowOff>
    </xdr:to>
    <xdr:pic>
      <xdr:nvPicPr>
        <xdr:cNvPr id="141" name="Picture 140">
          <a:extLst>
            <a:ext uri="{FF2B5EF4-FFF2-40B4-BE49-F238E27FC236}">
              <a16:creationId xmlns:a16="http://schemas.microsoft.com/office/drawing/2014/main" id="{AD01B901-EC9F-D1A2-55B3-AA6531CF88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129698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3</xdr:row>
      <xdr:rowOff>39688</xdr:rowOff>
    </xdr:from>
    <xdr:to>
      <xdr:col>15</xdr:col>
      <xdr:colOff>460375</xdr:colOff>
      <xdr:row>3</xdr:row>
      <xdr:rowOff>293688</xdr:rowOff>
    </xdr:to>
    <xdr:pic>
      <xdr:nvPicPr>
        <xdr:cNvPr id="144" name="Picture 143">
          <a:extLst>
            <a:ext uri="{FF2B5EF4-FFF2-40B4-BE49-F238E27FC236}">
              <a16:creationId xmlns:a16="http://schemas.microsoft.com/office/drawing/2014/main" id="{ECC955E9-BC78-6DC0-CF8D-77813C38A1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1296988"/>
          <a:ext cx="254000" cy="254000"/>
        </a:xfrm>
        <a:prstGeom prst="rect">
          <a:avLst/>
        </a:prstGeom>
      </xdr:spPr>
    </xdr:pic>
    <xdr:clientData/>
  </xdr:twoCellAnchor>
  <xdr:twoCellAnchor>
    <xdr:from>
      <xdr:col>63</xdr:col>
      <xdr:colOff>181208</xdr:colOff>
      <xdr:row>3</xdr:row>
      <xdr:rowOff>39688</xdr:rowOff>
    </xdr:from>
    <xdr:to>
      <xdr:col>63</xdr:col>
      <xdr:colOff>485540</xdr:colOff>
      <xdr:row>3</xdr:row>
      <xdr:rowOff>293688</xdr:rowOff>
    </xdr:to>
    <xdr:pic>
      <xdr:nvPicPr>
        <xdr:cNvPr id="147" name="Picture 146">
          <a:extLst>
            <a:ext uri="{FF2B5EF4-FFF2-40B4-BE49-F238E27FC236}">
              <a16:creationId xmlns:a16="http://schemas.microsoft.com/office/drawing/2014/main" id="{BBBB8E72-7FED-A2EC-A9E6-B8AA22A59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33758" y="1296988"/>
          <a:ext cx="304332" cy="254000"/>
        </a:xfrm>
        <a:prstGeom prst="rect">
          <a:avLst/>
        </a:prstGeom>
      </xdr:spPr>
    </xdr:pic>
    <xdr:clientData/>
  </xdr:twoCellAnchor>
  <xdr:twoCellAnchor>
    <xdr:from>
      <xdr:col>207</xdr:col>
      <xdr:colOff>223131</xdr:colOff>
      <xdr:row>3</xdr:row>
      <xdr:rowOff>39688</xdr:rowOff>
    </xdr:from>
    <xdr:to>
      <xdr:col>207</xdr:col>
      <xdr:colOff>443617</xdr:colOff>
      <xdr:row>3</xdr:row>
      <xdr:rowOff>293688</xdr:rowOff>
    </xdr:to>
    <xdr:pic>
      <xdr:nvPicPr>
        <xdr:cNvPr id="150" name="Picture 149">
          <a:extLst>
            <a:ext uri="{FF2B5EF4-FFF2-40B4-BE49-F238E27FC236}">
              <a16:creationId xmlns:a16="http://schemas.microsoft.com/office/drawing/2014/main" id="{C5E492B7-4F4D-B0BC-15EF-3F523CA1DD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86581" y="1296988"/>
          <a:ext cx="220486" cy="254000"/>
        </a:xfrm>
        <a:prstGeom prst="rect">
          <a:avLst/>
        </a:prstGeom>
      </xdr:spPr>
    </xdr:pic>
    <xdr:clientData/>
  </xdr:twoCellAnchor>
  <xdr:twoCellAnchor>
    <xdr:from>
      <xdr:col>3</xdr:col>
      <xdr:colOff>230003</xdr:colOff>
      <xdr:row>3</xdr:row>
      <xdr:rowOff>39688</xdr:rowOff>
    </xdr:from>
    <xdr:to>
      <xdr:col>3</xdr:col>
      <xdr:colOff>436747</xdr:colOff>
      <xdr:row>3</xdr:row>
      <xdr:rowOff>293688</xdr:rowOff>
    </xdr:to>
    <xdr:pic>
      <xdr:nvPicPr>
        <xdr:cNvPr id="153" name="Picture 152">
          <a:extLst>
            <a:ext uri="{FF2B5EF4-FFF2-40B4-BE49-F238E27FC236}">
              <a16:creationId xmlns:a16="http://schemas.microsoft.com/office/drawing/2014/main" id="{B0045844-328B-8998-94D7-04031DC4B4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3653" y="1296988"/>
          <a:ext cx="206744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3</xdr:row>
      <xdr:rowOff>39688</xdr:rowOff>
    </xdr:from>
    <xdr:to>
      <xdr:col>123</xdr:col>
      <xdr:colOff>460375</xdr:colOff>
      <xdr:row>3</xdr:row>
      <xdr:rowOff>293688</xdr:rowOff>
    </xdr:to>
    <xdr:pic>
      <xdr:nvPicPr>
        <xdr:cNvPr id="156" name="Picture 155">
          <a:extLst>
            <a:ext uri="{FF2B5EF4-FFF2-40B4-BE49-F238E27FC236}">
              <a16:creationId xmlns:a16="http://schemas.microsoft.com/office/drawing/2014/main" id="{94E20B18-BE36-E4A4-CBE8-D03870991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1296988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3</xdr:row>
      <xdr:rowOff>39688</xdr:rowOff>
    </xdr:from>
    <xdr:to>
      <xdr:col>87</xdr:col>
      <xdr:colOff>460375</xdr:colOff>
      <xdr:row>3</xdr:row>
      <xdr:rowOff>293688</xdr:rowOff>
    </xdr:to>
    <xdr:pic>
      <xdr:nvPicPr>
        <xdr:cNvPr id="159" name="Picture 158">
          <a:extLst>
            <a:ext uri="{FF2B5EF4-FFF2-40B4-BE49-F238E27FC236}">
              <a16:creationId xmlns:a16="http://schemas.microsoft.com/office/drawing/2014/main" id="{003A64B0-447A-A02F-2A25-CFBE1A473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1296988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3</xdr:row>
      <xdr:rowOff>39688</xdr:rowOff>
    </xdr:from>
    <xdr:to>
      <xdr:col>183</xdr:col>
      <xdr:colOff>460375</xdr:colOff>
      <xdr:row>3</xdr:row>
      <xdr:rowOff>293688</xdr:rowOff>
    </xdr:to>
    <xdr:pic>
      <xdr:nvPicPr>
        <xdr:cNvPr id="162" name="Picture 161">
          <a:extLst>
            <a:ext uri="{FF2B5EF4-FFF2-40B4-BE49-F238E27FC236}">
              <a16:creationId xmlns:a16="http://schemas.microsoft.com/office/drawing/2014/main" id="{15E9E85C-E3C7-B2F2-A383-8F5FAE45F0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1296988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3</xdr:row>
      <xdr:rowOff>39688</xdr:rowOff>
    </xdr:from>
    <xdr:to>
      <xdr:col>99</xdr:col>
      <xdr:colOff>460375</xdr:colOff>
      <xdr:row>3</xdr:row>
      <xdr:rowOff>293688</xdr:rowOff>
    </xdr:to>
    <xdr:pic>
      <xdr:nvPicPr>
        <xdr:cNvPr id="165" name="Picture 164">
          <a:extLst>
            <a:ext uri="{FF2B5EF4-FFF2-40B4-BE49-F238E27FC236}">
              <a16:creationId xmlns:a16="http://schemas.microsoft.com/office/drawing/2014/main" id="{168A1D95-D663-53FA-35FE-EB16A3FCA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1296988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3</xdr:row>
      <xdr:rowOff>39688</xdr:rowOff>
    </xdr:from>
    <xdr:to>
      <xdr:col>51</xdr:col>
      <xdr:colOff>460375</xdr:colOff>
      <xdr:row>3</xdr:row>
      <xdr:rowOff>293688</xdr:rowOff>
    </xdr:to>
    <xdr:pic>
      <xdr:nvPicPr>
        <xdr:cNvPr id="168" name="Picture 167">
          <a:extLst>
            <a:ext uri="{FF2B5EF4-FFF2-40B4-BE49-F238E27FC236}">
              <a16:creationId xmlns:a16="http://schemas.microsoft.com/office/drawing/2014/main" id="{02144219-BA06-2226-61FE-E5F0072B79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1296988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3</xdr:row>
      <xdr:rowOff>39688</xdr:rowOff>
    </xdr:from>
    <xdr:to>
      <xdr:col>111</xdr:col>
      <xdr:colOff>460375</xdr:colOff>
      <xdr:row>3</xdr:row>
      <xdr:rowOff>293688</xdr:rowOff>
    </xdr:to>
    <xdr:pic>
      <xdr:nvPicPr>
        <xdr:cNvPr id="171" name="Picture 170">
          <a:extLst>
            <a:ext uri="{FF2B5EF4-FFF2-40B4-BE49-F238E27FC236}">
              <a16:creationId xmlns:a16="http://schemas.microsoft.com/office/drawing/2014/main" id="{00C50F92-81A9-BEA8-EFC4-960DFBB605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1296988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3</xdr:row>
      <xdr:rowOff>39688</xdr:rowOff>
    </xdr:from>
    <xdr:to>
      <xdr:col>159</xdr:col>
      <xdr:colOff>460375</xdr:colOff>
      <xdr:row>3</xdr:row>
      <xdr:rowOff>293688</xdr:rowOff>
    </xdr:to>
    <xdr:pic>
      <xdr:nvPicPr>
        <xdr:cNvPr id="174" name="Picture 173">
          <a:extLst>
            <a:ext uri="{FF2B5EF4-FFF2-40B4-BE49-F238E27FC236}">
              <a16:creationId xmlns:a16="http://schemas.microsoft.com/office/drawing/2014/main" id="{03AD27E1-B3F6-F0A6-4F04-699FD02407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1296988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263525</xdr:colOff>
      <xdr:row>3</xdr:row>
      <xdr:rowOff>39688</xdr:rowOff>
    </xdr:from>
    <xdr:to>
      <xdr:col>171</xdr:col>
      <xdr:colOff>403225</xdr:colOff>
      <xdr:row>3</xdr:row>
      <xdr:rowOff>293688</xdr:rowOff>
    </xdr:to>
    <xdr:pic>
      <xdr:nvPicPr>
        <xdr:cNvPr id="177" name="Picture 176">
          <a:extLst>
            <a:ext uri="{FF2B5EF4-FFF2-40B4-BE49-F238E27FC236}">
              <a16:creationId xmlns:a16="http://schemas.microsoft.com/office/drawing/2014/main" id="{55269908-C8A7-CC6E-A15A-B8084DF5BE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124250" y="1296988"/>
          <a:ext cx="1397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3</xdr:row>
      <xdr:rowOff>39688</xdr:rowOff>
    </xdr:from>
    <xdr:to>
      <xdr:col>135</xdr:col>
      <xdr:colOff>460375</xdr:colOff>
      <xdr:row>3</xdr:row>
      <xdr:rowOff>293688</xdr:rowOff>
    </xdr:to>
    <xdr:pic>
      <xdr:nvPicPr>
        <xdr:cNvPr id="180" name="Picture 179">
          <a:extLst>
            <a:ext uri="{FF2B5EF4-FFF2-40B4-BE49-F238E27FC236}">
              <a16:creationId xmlns:a16="http://schemas.microsoft.com/office/drawing/2014/main" id="{38B406D3-B7EF-EEEC-AAB3-916C8F78D0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129698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4</xdr:row>
      <xdr:rowOff>39688</xdr:rowOff>
    </xdr:from>
    <xdr:to>
      <xdr:col>15</xdr:col>
      <xdr:colOff>460375</xdr:colOff>
      <xdr:row>4</xdr:row>
      <xdr:rowOff>293688</xdr:rowOff>
    </xdr:to>
    <xdr:pic>
      <xdr:nvPicPr>
        <xdr:cNvPr id="183" name="Picture 182">
          <a:extLst>
            <a:ext uri="{FF2B5EF4-FFF2-40B4-BE49-F238E27FC236}">
              <a16:creationId xmlns:a16="http://schemas.microsoft.com/office/drawing/2014/main" id="{31DD4948-2CC3-82C0-BE0A-190C08BFE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1630363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4</xdr:row>
      <xdr:rowOff>39688</xdr:rowOff>
    </xdr:from>
    <xdr:to>
      <xdr:col>87</xdr:col>
      <xdr:colOff>460375</xdr:colOff>
      <xdr:row>4</xdr:row>
      <xdr:rowOff>293688</xdr:rowOff>
    </xdr:to>
    <xdr:pic>
      <xdr:nvPicPr>
        <xdr:cNvPr id="186" name="Picture 185">
          <a:extLst>
            <a:ext uri="{FF2B5EF4-FFF2-40B4-BE49-F238E27FC236}">
              <a16:creationId xmlns:a16="http://schemas.microsoft.com/office/drawing/2014/main" id="{6A2536A6-BD6F-81DC-2974-F77AB6E87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1630363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4</xdr:row>
      <xdr:rowOff>39688</xdr:rowOff>
    </xdr:from>
    <xdr:to>
      <xdr:col>75</xdr:col>
      <xdr:colOff>460375</xdr:colOff>
      <xdr:row>4</xdr:row>
      <xdr:rowOff>293688</xdr:rowOff>
    </xdr:to>
    <xdr:pic>
      <xdr:nvPicPr>
        <xdr:cNvPr id="189" name="Picture 188">
          <a:extLst>
            <a:ext uri="{FF2B5EF4-FFF2-40B4-BE49-F238E27FC236}">
              <a16:creationId xmlns:a16="http://schemas.microsoft.com/office/drawing/2014/main" id="{CE887455-9A36-7EFC-3965-6C7C83A1D6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1630363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4</xdr:row>
      <xdr:rowOff>39688</xdr:rowOff>
    </xdr:from>
    <xdr:to>
      <xdr:col>111</xdr:col>
      <xdr:colOff>460375</xdr:colOff>
      <xdr:row>4</xdr:row>
      <xdr:rowOff>293688</xdr:rowOff>
    </xdr:to>
    <xdr:pic>
      <xdr:nvPicPr>
        <xdr:cNvPr id="192" name="Picture 191">
          <a:extLst>
            <a:ext uri="{FF2B5EF4-FFF2-40B4-BE49-F238E27FC236}">
              <a16:creationId xmlns:a16="http://schemas.microsoft.com/office/drawing/2014/main" id="{C169C952-58CE-958F-ACFE-6595B16D33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1630363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223131</xdr:colOff>
      <xdr:row>4</xdr:row>
      <xdr:rowOff>39688</xdr:rowOff>
    </xdr:from>
    <xdr:to>
      <xdr:col>159</xdr:col>
      <xdr:colOff>443617</xdr:colOff>
      <xdr:row>4</xdr:row>
      <xdr:rowOff>293688</xdr:rowOff>
    </xdr:to>
    <xdr:pic>
      <xdr:nvPicPr>
        <xdr:cNvPr id="195" name="Picture 194">
          <a:extLst>
            <a:ext uri="{FF2B5EF4-FFF2-40B4-BE49-F238E27FC236}">
              <a16:creationId xmlns:a16="http://schemas.microsoft.com/office/drawing/2014/main" id="{6DDE9DDD-435D-F71D-15BC-38B57E3F8B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816281" y="1630363"/>
          <a:ext cx="220486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4</xdr:row>
      <xdr:rowOff>39688</xdr:rowOff>
    </xdr:from>
    <xdr:to>
      <xdr:col>63</xdr:col>
      <xdr:colOff>460375</xdr:colOff>
      <xdr:row>4</xdr:row>
      <xdr:rowOff>293688</xdr:rowOff>
    </xdr:to>
    <xdr:pic>
      <xdr:nvPicPr>
        <xdr:cNvPr id="198" name="Picture 197">
          <a:extLst>
            <a:ext uri="{FF2B5EF4-FFF2-40B4-BE49-F238E27FC236}">
              <a16:creationId xmlns:a16="http://schemas.microsoft.com/office/drawing/2014/main" id="{C2D678A3-A006-8F70-996D-2DFC44135A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1630363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4</xdr:row>
      <xdr:rowOff>39688</xdr:rowOff>
    </xdr:from>
    <xdr:to>
      <xdr:col>195</xdr:col>
      <xdr:colOff>460375</xdr:colOff>
      <xdr:row>4</xdr:row>
      <xdr:rowOff>293688</xdr:rowOff>
    </xdr:to>
    <xdr:pic>
      <xdr:nvPicPr>
        <xdr:cNvPr id="201" name="Picture 200">
          <a:extLst>
            <a:ext uri="{FF2B5EF4-FFF2-40B4-BE49-F238E27FC236}">
              <a16:creationId xmlns:a16="http://schemas.microsoft.com/office/drawing/2014/main" id="{9CBE5BA0-C66A-A42E-FCCB-42F77CB5B3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1630363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4</xdr:row>
      <xdr:rowOff>39688</xdr:rowOff>
    </xdr:from>
    <xdr:to>
      <xdr:col>27</xdr:col>
      <xdr:colOff>460375</xdr:colOff>
      <xdr:row>4</xdr:row>
      <xdr:rowOff>293688</xdr:rowOff>
    </xdr:to>
    <xdr:pic>
      <xdr:nvPicPr>
        <xdr:cNvPr id="204" name="Picture 203">
          <a:extLst>
            <a:ext uri="{FF2B5EF4-FFF2-40B4-BE49-F238E27FC236}">
              <a16:creationId xmlns:a16="http://schemas.microsoft.com/office/drawing/2014/main" id="{51FC8286-B913-21B0-F77C-7F0B0DBAEE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1630363"/>
          <a:ext cx="254000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4</xdr:row>
      <xdr:rowOff>39688</xdr:rowOff>
    </xdr:from>
    <xdr:to>
      <xdr:col>207</xdr:col>
      <xdr:colOff>460375</xdr:colOff>
      <xdr:row>4</xdr:row>
      <xdr:rowOff>293688</xdr:rowOff>
    </xdr:to>
    <xdr:pic>
      <xdr:nvPicPr>
        <xdr:cNvPr id="207" name="Picture 206">
          <a:extLst>
            <a:ext uri="{FF2B5EF4-FFF2-40B4-BE49-F238E27FC236}">
              <a16:creationId xmlns:a16="http://schemas.microsoft.com/office/drawing/2014/main" id="{589D1246-41C3-041A-6530-DF2F459612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1630363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181209</xdr:colOff>
      <xdr:row>4</xdr:row>
      <xdr:rowOff>39688</xdr:rowOff>
    </xdr:from>
    <xdr:to>
      <xdr:col>39</xdr:col>
      <xdr:colOff>485541</xdr:colOff>
      <xdr:row>4</xdr:row>
      <xdr:rowOff>293688</xdr:rowOff>
    </xdr:to>
    <xdr:pic>
      <xdr:nvPicPr>
        <xdr:cNvPr id="210" name="Picture 209">
          <a:extLst>
            <a:ext uri="{FF2B5EF4-FFF2-40B4-BE49-F238E27FC236}">
              <a16:creationId xmlns:a16="http://schemas.microsoft.com/office/drawing/2014/main" id="{2465C247-B64A-057A-C716-558C4AC3BE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79559" y="1630363"/>
          <a:ext cx="304332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4</xdr:row>
      <xdr:rowOff>39688</xdr:rowOff>
    </xdr:from>
    <xdr:to>
      <xdr:col>231</xdr:col>
      <xdr:colOff>460375</xdr:colOff>
      <xdr:row>4</xdr:row>
      <xdr:rowOff>293688</xdr:rowOff>
    </xdr:to>
    <xdr:pic>
      <xdr:nvPicPr>
        <xdr:cNvPr id="213" name="Picture 212">
          <a:extLst>
            <a:ext uri="{FF2B5EF4-FFF2-40B4-BE49-F238E27FC236}">
              <a16:creationId xmlns:a16="http://schemas.microsoft.com/office/drawing/2014/main" id="{7A17BE45-68AD-B61F-7F26-D681E2008C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1630363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4</xdr:row>
      <xdr:rowOff>39688</xdr:rowOff>
    </xdr:from>
    <xdr:to>
      <xdr:col>99</xdr:col>
      <xdr:colOff>460375</xdr:colOff>
      <xdr:row>4</xdr:row>
      <xdr:rowOff>293688</xdr:rowOff>
    </xdr:to>
    <xdr:pic>
      <xdr:nvPicPr>
        <xdr:cNvPr id="216" name="Picture 215">
          <a:extLst>
            <a:ext uri="{FF2B5EF4-FFF2-40B4-BE49-F238E27FC236}">
              <a16:creationId xmlns:a16="http://schemas.microsoft.com/office/drawing/2014/main" id="{0C366B3F-030F-24CE-050C-FCDB6F13F6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1630363"/>
          <a:ext cx="254000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4</xdr:row>
      <xdr:rowOff>39688</xdr:rowOff>
    </xdr:from>
    <xdr:to>
      <xdr:col>123</xdr:col>
      <xdr:colOff>460375</xdr:colOff>
      <xdr:row>4</xdr:row>
      <xdr:rowOff>293688</xdr:rowOff>
    </xdr:to>
    <xdr:pic>
      <xdr:nvPicPr>
        <xdr:cNvPr id="219" name="Picture 218">
          <a:extLst>
            <a:ext uri="{FF2B5EF4-FFF2-40B4-BE49-F238E27FC236}">
              <a16:creationId xmlns:a16="http://schemas.microsoft.com/office/drawing/2014/main" id="{7DD2394A-55A0-3ACF-3B74-84B2263709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1630363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230001</xdr:colOff>
      <xdr:row>4</xdr:row>
      <xdr:rowOff>39688</xdr:rowOff>
    </xdr:from>
    <xdr:to>
      <xdr:col>171</xdr:col>
      <xdr:colOff>436745</xdr:colOff>
      <xdr:row>4</xdr:row>
      <xdr:rowOff>293688</xdr:rowOff>
    </xdr:to>
    <xdr:pic>
      <xdr:nvPicPr>
        <xdr:cNvPr id="222" name="Picture 221">
          <a:extLst>
            <a:ext uri="{FF2B5EF4-FFF2-40B4-BE49-F238E27FC236}">
              <a16:creationId xmlns:a16="http://schemas.microsoft.com/office/drawing/2014/main" id="{95E6CCEA-4B1F-77EF-DE0A-B3DB243478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90726" y="1630363"/>
          <a:ext cx="206744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4</xdr:row>
      <xdr:rowOff>39688</xdr:rowOff>
    </xdr:from>
    <xdr:to>
      <xdr:col>51</xdr:col>
      <xdr:colOff>460375</xdr:colOff>
      <xdr:row>4</xdr:row>
      <xdr:rowOff>293688</xdr:rowOff>
    </xdr:to>
    <xdr:pic>
      <xdr:nvPicPr>
        <xdr:cNvPr id="225" name="Picture 224">
          <a:extLst>
            <a:ext uri="{FF2B5EF4-FFF2-40B4-BE49-F238E27FC236}">
              <a16:creationId xmlns:a16="http://schemas.microsoft.com/office/drawing/2014/main" id="{B67EBBE9-50FF-4F2B-A9D2-1205F326E4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1630363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4</xdr:row>
      <xdr:rowOff>39688</xdr:rowOff>
    </xdr:from>
    <xdr:to>
      <xdr:col>147</xdr:col>
      <xdr:colOff>460375</xdr:colOff>
      <xdr:row>4</xdr:row>
      <xdr:rowOff>293688</xdr:rowOff>
    </xdr:to>
    <xdr:pic>
      <xdr:nvPicPr>
        <xdr:cNvPr id="228" name="Picture 227">
          <a:extLst>
            <a:ext uri="{FF2B5EF4-FFF2-40B4-BE49-F238E27FC236}">
              <a16:creationId xmlns:a16="http://schemas.microsoft.com/office/drawing/2014/main" id="{6206AFD3-88CB-6D2E-F905-73AAC4578C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1630363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4</xdr:row>
      <xdr:rowOff>39688</xdr:rowOff>
    </xdr:from>
    <xdr:to>
      <xdr:col>183</xdr:col>
      <xdr:colOff>460375</xdr:colOff>
      <xdr:row>4</xdr:row>
      <xdr:rowOff>293688</xdr:rowOff>
    </xdr:to>
    <xdr:pic>
      <xdr:nvPicPr>
        <xdr:cNvPr id="231" name="Picture 230">
          <a:extLst>
            <a:ext uri="{FF2B5EF4-FFF2-40B4-BE49-F238E27FC236}">
              <a16:creationId xmlns:a16="http://schemas.microsoft.com/office/drawing/2014/main" id="{C65D398D-CEA1-5E09-CB50-51B77E400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1630363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4</xdr:row>
      <xdr:rowOff>39688</xdr:rowOff>
    </xdr:from>
    <xdr:to>
      <xdr:col>219</xdr:col>
      <xdr:colOff>460375</xdr:colOff>
      <xdr:row>4</xdr:row>
      <xdr:rowOff>293688</xdr:rowOff>
    </xdr:to>
    <xdr:pic>
      <xdr:nvPicPr>
        <xdr:cNvPr id="234" name="Picture 233">
          <a:extLst>
            <a:ext uri="{FF2B5EF4-FFF2-40B4-BE49-F238E27FC236}">
              <a16:creationId xmlns:a16="http://schemas.microsoft.com/office/drawing/2014/main" id="{3EE58A75-B5B7-F6CE-4E56-58E57354B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1630363"/>
          <a:ext cx="2540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4</xdr:row>
      <xdr:rowOff>39688</xdr:rowOff>
    </xdr:from>
    <xdr:to>
      <xdr:col>135</xdr:col>
      <xdr:colOff>460375</xdr:colOff>
      <xdr:row>4</xdr:row>
      <xdr:rowOff>293688</xdr:rowOff>
    </xdr:to>
    <xdr:pic>
      <xdr:nvPicPr>
        <xdr:cNvPr id="237" name="Picture 236">
          <a:extLst>
            <a:ext uri="{FF2B5EF4-FFF2-40B4-BE49-F238E27FC236}">
              <a16:creationId xmlns:a16="http://schemas.microsoft.com/office/drawing/2014/main" id="{A9B973B9-691B-B3FB-D5F1-6FC85A5104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163036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263525</xdr:colOff>
      <xdr:row>4</xdr:row>
      <xdr:rowOff>39688</xdr:rowOff>
    </xdr:from>
    <xdr:to>
      <xdr:col>3</xdr:col>
      <xdr:colOff>403225</xdr:colOff>
      <xdr:row>4</xdr:row>
      <xdr:rowOff>293688</xdr:rowOff>
    </xdr:to>
    <xdr:pic>
      <xdr:nvPicPr>
        <xdr:cNvPr id="240" name="Picture 239">
          <a:extLst>
            <a:ext uri="{FF2B5EF4-FFF2-40B4-BE49-F238E27FC236}">
              <a16:creationId xmlns:a16="http://schemas.microsoft.com/office/drawing/2014/main" id="{7043CD04-4776-9D5B-2FCD-D84831BBE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7175" y="1630363"/>
          <a:ext cx="1397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6</xdr:row>
      <xdr:rowOff>39688</xdr:rowOff>
    </xdr:from>
    <xdr:to>
      <xdr:col>3</xdr:col>
      <xdr:colOff>460375</xdr:colOff>
      <xdr:row>6</xdr:row>
      <xdr:rowOff>293688</xdr:rowOff>
    </xdr:to>
    <xdr:pic>
      <xdr:nvPicPr>
        <xdr:cNvPr id="243" name="Picture 242">
          <a:extLst>
            <a:ext uri="{FF2B5EF4-FFF2-40B4-BE49-F238E27FC236}">
              <a16:creationId xmlns:a16="http://schemas.microsoft.com/office/drawing/2014/main" id="{50753786-02CD-1344-D6B9-9CDC8B1AB8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2297113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6</xdr:row>
      <xdr:rowOff>39688</xdr:rowOff>
    </xdr:from>
    <xdr:to>
      <xdr:col>183</xdr:col>
      <xdr:colOff>460375</xdr:colOff>
      <xdr:row>6</xdr:row>
      <xdr:rowOff>293688</xdr:rowOff>
    </xdr:to>
    <xdr:pic>
      <xdr:nvPicPr>
        <xdr:cNvPr id="246" name="Picture 245">
          <a:extLst>
            <a:ext uri="{FF2B5EF4-FFF2-40B4-BE49-F238E27FC236}">
              <a16:creationId xmlns:a16="http://schemas.microsoft.com/office/drawing/2014/main" id="{D07EE3A3-3971-9900-1D52-FA02C07859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2297113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6</xdr:row>
      <xdr:rowOff>39688</xdr:rowOff>
    </xdr:from>
    <xdr:to>
      <xdr:col>27</xdr:col>
      <xdr:colOff>460375</xdr:colOff>
      <xdr:row>6</xdr:row>
      <xdr:rowOff>293688</xdr:rowOff>
    </xdr:to>
    <xdr:pic>
      <xdr:nvPicPr>
        <xdr:cNvPr id="249" name="Picture 248">
          <a:extLst>
            <a:ext uri="{FF2B5EF4-FFF2-40B4-BE49-F238E27FC236}">
              <a16:creationId xmlns:a16="http://schemas.microsoft.com/office/drawing/2014/main" id="{48894B13-DDA1-36C8-748B-BC18F79596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2297113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6</xdr:row>
      <xdr:rowOff>39688</xdr:rowOff>
    </xdr:from>
    <xdr:to>
      <xdr:col>51</xdr:col>
      <xdr:colOff>460375</xdr:colOff>
      <xdr:row>6</xdr:row>
      <xdr:rowOff>293688</xdr:rowOff>
    </xdr:to>
    <xdr:pic>
      <xdr:nvPicPr>
        <xdr:cNvPr id="252" name="Picture 251">
          <a:extLst>
            <a:ext uri="{FF2B5EF4-FFF2-40B4-BE49-F238E27FC236}">
              <a16:creationId xmlns:a16="http://schemas.microsoft.com/office/drawing/2014/main" id="{E7778DE4-9E1E-1A1D-7E9D-427F16D91E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2297113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181211</xdr:colOff>
      <xdr:row>6</xdr:row>
      <xdr:rowOff>39688</xdr:rowOff>
    </xdr:from>
    <xdr:to>
      <xdr:col>87</xdr:col>
      <xdr:colOff>485543</xdr:colOff>
      <xdr:row>6</xdr:row>
      <xdr:rowOff>293688</xdr:rowOff>
    </xdr:to>
    <xdr:pic>
      <xdr:nvPicPr>
        <xdr:cNvPr id="255" name="Picture 254">
          <a:extLst>
            <a:ext uri="{FF2B5EF4-FFF2-40B4-BE49-F238E27FC236}">
              <a16:creationId xmlns:a16="http://schemas.microsoft.com/office/drawing/2014/main" id="{CCCD17F6-CFCA-991E-42F0-4AC0819D91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68911" y="2297113"/>
          <a:ext cx="304332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6</xdr:row>
      <xdr:rowOff>39688</xdr:rowOff>
    </xdr:from>
    <xdr:to>
      <xdr:col>207</xdr:col>
      <xdr:colOff>460375</xdr:colOff>
      <xdr:row>6</xdr:row>
      <xdr:rowOff>293688</xdr:rowOff>
    </xdr:to>
    <xdr:pic>
      <xdr:nvPicPr>
        <xdr:cNvPr id="258" name="Picture 257">
          <a:extLst>
            <a:ext uri="{FF2B5EF4-FFF2-40B4-BE49-F238E27FC236}">
              <a16:creationId xmlns:a16="http://schemas.microsoft.com/office/drawing/2014/main" id="{A6A22CA3-0E17-AE39-F736-12F8326FB2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2297113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6</xdr:row>
      <xdr:rowOff>39688</xdr:rowOff>
    </xdr:from>
    <xdr:to>
      <xdr:col>99</xdr:col>
      <xdr:colOff>460375</xdr:colOff>
      <xdr:row>6</xdr:row>
      <xdr:rowOff>293688</xdr:rowOff>
    </xdr:to>
    <xdr:pic>
      <xdr:nvPicPr>
        <xdr:cNvPr id="261" name="Picture 260">
          <a:extLst>
            <a:ext uri="{FF2B5EF4-FFF2-40B4-BE49-F238E27FC236}">
              <a16:creationId xmlns:a16="http://schemas.microsoft.com/office/drawing/2014/main" id="{7DDBC67B-F3A6-2C79-A1A1-8C15669C81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2297113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6</xdr:row>
      <xdr:rowOff>39688</xdr:rowOff>
    </xdr:from>
    <xdr:to>
      <xdr:col>15</xdr:col>
      <xdr:colOff>460375</xdr:colOff>
      <xdr:row>6</xdr:row>
      <xdr:rowOff>293688</xdr:rowOff>
    </xdr:to>
    <xdr:pic>
      <xdr:nvPicPr>
        <xdr:cNvPr id="264" name="Picture 263">
          <a:extLst>
            <a:ext uri="{FF2B5EF4-FFF2-40B4-BE49-F238E27FC236}">
              <a16:creationId xmlns:a16="http://schemas.microsoft.com/office/drawing/2014/main" id="{BB9C048C-634F-A2FD-D976-FF8C07C25F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2297113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230001</xdr:colOff>
      <xdr:row>6</xdr:row>
      <xdr:rowOff>39688</xdr:rowOff>
    </xdr:from>
    <xdr:to>
      <xdr:col>111</xdr:col>
      <xdr:colOff>436745</xdr:colOff>
      <xdr:row>6</xdr:row>
      <xdr:rowOff>293688</xdr:rowOff>
    </xdr:to>
    <xdr:pic>
      <xdr:nvPicPr>
        <xdr:cNvPr id="267" name="Picture 266">
          <a:extLst>
            <a:ext uri="{FF2B5EF4-FFF2-40B4-BE49-F238E27FC236}">
              <a16:creationId xmlns:a16="http://schemas.microsoft.com/office/drawing/2014/main" id="{27BB4DF0-C0B4-9CEE-9A64-3A2857246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52851" y="2297113"/>
          <a:ext cx="206744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6</xdr:row>
      <xdr:rowOff>39688</xdr:rowOff>
    </xdr:from>
    <xdr:to>
      <xdr:col>123</xdr:col>
      <xdr:colOff>460375</xdr:colOff>
      <xdr:row>6</xdr:row>
      <xdr:rowOff>293688</xdr:rowOff>
    </xdr:to>
    <xdr:pic>
      <xdr:nvPicPr>
        <xdr:cNvPr id="270" name="Picture 269">
          <a:extLst>
            <a:ext uri="{FF2B5EF4-FFF2-40B4-BE49-F238E27FC236}">
              <a16:creationId xmlns:a16="http://schemas.microsoft.com/office/drawing/2014/main" id="{8CE84C9E-EB54-F071-3D13-5F5B96BD35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2297113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6</xdr:row>
      <xdr:rowOff>39688</xdr:rowOff>
    </xdr:from>
    <xdr:to>
      <xdr:col>171</xdr:col>
      <xdr:colOff>460375</xdr:colOff>
      <xdr:row>6</xdr:row>
      <xdr:rowOff>293688</xdr:rowOff>
    </xdr:to>
    <xdr:pic>
      <xdr:nvPicPr>
        <xdr:cNvPr id="273" name="Picture 272">
          <a:extLst>
            <a:ext uri="{FF2B5EF4-FFF2-40B4-BE49-F238E27FC236}">
              <a16:creationId xmlns:a16="http://schemas.microsoft.com/office/drawing/2014/main" id="{0CF3ACB7-D341-2CB2-9FE8-48F346C831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2297113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6</xdr:row>
      <xdr:rowOff>39688</xdr:rowOff>
    </xdr:from>
    <xdr:to>
      <xdr:col>231</xdr:col>
      <xdr:colOff>460375</xdr:colOff>
      <xdr:row>6</xdr:row>
      <xdr:rowOff>293688</xdr:rowOff>
    </xdr:to>
    <xdr:pic>
      <xdr:nvPicPr>
        <xdr:cNvPr id="276" name="Picture 275">
          <a:extLst>
            <a:ext uri="{FF2B5EF4-FFF2-40B4-BE49-F238E27FC236}">
              <a16:creationId xmlns:a16="http://schemas.microsoft.com/office/drawing/2014/main" id="{CCA53E66-B900-46A2-8555-25BE75F955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2297113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6</xdr:row>
      <xdr:rowOff>39688</xdr:rowOff>
    </xdr:from>
    <xdr:to>
      <xdr:col>219</xdr:col>
      <xdr:colOff>460375</xdr:colOff>
      <xdr:row>6</xdr:row>
      <xdr:rowOff>293688</xdr:rowOff>
    </xdr:to>
    <xdr:pic>
      <xdr:nvPicPr>
        <xdr:cNvPr id="279" name="Picture 278">
          <a:extLst>
            <a:ext uri="{FF2B5EF4-FFF2-40B4-BE49-F238E27FC236}">
              <a16:creationId xmlns:a16="http://schemas.microsoft.com/office/drawing/2014/main" id="{4C43EE7B-7EEB-DC30-DBD5-B157C77D17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2297113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6</xdr:row>
      <xdr:rowOff>39688</xdr:rowOff>
    </xdr:from>
    <xdr:to>
      <xdr:col>195</xdr:col>
      <xdr:colOff>460375</xdr:colOff>
      <xdr:row>6</xdr:row>
      <xdr:rowOff>293688</xdr:rowOff>
    </xdr:to>
    <xdr:pic>
      <xdr:nvPicPr>
        <xdr:cNvPr id="282" name="Picture 281">
          <a:extLst>
            <a:ext uri="{FF2B5EF4-FFF2-40B4-BE49-F238E27FC236}">
              <a16:creationId xmlns:a16="http://schemas.microsoft.com/office/drawing/2014/main" id="{10B3DAA1-8534-1120-6037-424F2D799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2297113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6</xdr:row>
      <xdr:rowOff>39688</xdr:rowOff>
    </xdr:from>
    <xdr:to>
      <xdr:col>39</xdr:col>
      <xdr:colOff>460375</xdr:colOff>
      <xdr:row>6</xdr:row>
      <xdr:rowOff>293688</xdr:rowOff>
    </xdr:to>
    <xdr:pic>
      <xdr:nvPicPr>
        <xdr:cNvPr id="285" name="Picture 284">
          <a:extLst>
            <a:ext uri="{FF2B5EF4-FFF2-40B4-BE49-F238E27FC236}">
              <a16:creationId xmlns:a16="http://schemas.microsoft.com/office/drawing/2014/main" id="{C9D7268E-3BCB-6CEC-096D-9B44F25F2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2297113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6</xdr:row>
      <xdr:rowOff>39688</xdr:rowOff>
    </xdr:from>
    <xdr:to>
      <xdr:col>75</xdr:col>
      <xdr:colOff>460375</xdr:colOff>
      <xdr:row>6</xdr:row>
      <xdr:rowOff>293688</xdr:rowOff>
    </xdr:to>
    <xdr:pic>
      <xdr:nvPicPr>
        <xdr:cNvPr id="288" name="Picture 287">
          <a:extLst>
            <a:ext uri="{FF2B5EF4-FFF2-40B4-BE49-F238E27FC236}">
              <a16:creationId xmlns:a16="http://schemas.microsoft.com/office/drawing/2014/main" id="{5562268F-C52D-0FDA-880A-9DFA75F49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2297113"/>
          <a:ext cx="254000" cy="254000"/>
        </a:xfrm>
        <a:prstGeom prst="rect">
          <a:avLst/>
        </a:prstGeom>
      </xdr:spPr>
    </xdr:pic>
    <xdr:clientData/>
  </xdr:twoCellAnchor>
  <xdr:twoCellAnchor>
    <xdr:from>
      <xdr:col>63</xdr:col>
      <xdr:colOff>263525</xdr:colOff>
      <xdr:row>6</xdr:row>
      <xdr:rowOff>39688</xdr:rowOff>
    </xdr:from>
    <xdr:to>
      <xdr:col>63</xdr:col>
      <xdr:colOff>403225</xdr:colOff>
      <xdr:row>6</xdr:row>
      <xdr:rowOff>293688</xdr:rowOff>
    </xdr:to>
    <xdr:pic>
      <xdr:nvPicPr>
        <xdr:cNvPr id="291" name="Picture 290">
          <a:extLst>
            <a:ext uri="{FF2B5EF4-FFF2-40B4-BE49-F238E27FC236}">
              <a16:creationId xmlns:a16="http://schemas.microsoft.com/office/drawing/2014/main" id="{40A2C641-A971-8432-77B1-A1C8F73CB9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16075" y="2297113"/>
          <a:ext cx="139700" cy="254000"/>
        </a:xfrm>
        <a:prstGeom prst="rect">
          <a:avLst/>
        </a:prstGeom>
      </xdr:spPr>
    </xdr:pic>
    <xdr:clientData/>
  </xdr:twoCellAnchor>
  <xdr:twoCellAnchor>
    <xdr:from>
      <xdr:col>135</xdr:col>
      <xdr:colOff>223131</xdr:colOff>
      <xdr:row>6</xdr:row>
      <xdr:rowOff>39688</xdr:rowOff>
    </xdr:from>
    <xdr:to>
      <xdr:col>135</xdr:col>
      <xdr:colOff>443617</xdr:colOff>
      <xdr:row>6</xdr:row>
      <xdr:rowOff>293688</xdr:rowOff>
    </xdr:to>
    <xdr:pic>
      <xdr:nvPicPr>
        <xdr:cNvPr id="294" name="Picture 293">
          <a:extLst>
            <a:ext uri="{FF2B5EF4-FFF2-40B4-BE49-F238E27FC236}">
              <a16:creationId xmlns:a16="http://schemas.microsoft.com/office/drawing/2014/main" id="{82D0B530-FDCB-D3A6-5049-993C69B422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81131" y="2297113"/>
          <a:ext cx="220486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6</xdr:row>
      <xdr:rowOff>39688</xdr:rowOff>
    </xdr:from>
    <xdr:to>
      <xdr:col>147</xdr:col>
      <xdr:colOff>460375</xdr:colOff>
      <xdr:row>6</xdr:row>
      <xdr:rowOff>293688</xdr:rowOff>
    </xdr:to>
    <xdr:pic>
      <xdr:nvPicPr>
        <xdr:cNvPr id="297" name="Picture 296">
          <a:extLst>
            <a:ext uri="{FF2B5EF4-FFF2-40B4-BE49-F238E27FC236}">
              <a16:creationId xmlns:a16="http://schemas.microsoft.com/office/drawing/2014/main" id="{9A45A2AC-9ABA-61B9-02D4-87BC83D2F0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2297113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6</xdr:row>
      <xdr:rowOff>39688</xdr:rowOff>
    </xdr:from>
    <xdr:to>
      <xdr:col>159</xdr:col>
      <xdr:colOff>460375</xdr:colOff>
      <xdr:row>6</xdr:row>
      <xdr:rowOff>293688</xdr:rowOff>
    </xdr:to>
    <xdr:pic>
      <xdr:nvPicPr>
        <xdr:cNvPr id="300" name="Picture 299">
          <a:extLst>
            <a:ext uri="{FF2B5EF4-FFF2-40B4-BE49-F238E27FC236}">
              <a16:creationId xmlns:a16="http://schemas.microsoft.com/office/drawing/2014/main" id="{0C6B10C4-BC1B-F0AE-2643-E3B6759188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2297113"/>
          <a:ext cx="2540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7</xdr:row>
      <xdr:rowOff>39688</xdr:rowOff>
    </xdr:from>
    <xdr:to>
      <xdr:col>135</xdr:col>
      <xdr:colOff>460375</xdr:colOff>
      <xdr:row>7</xdr:row>
      <xdr:rowOff>293688</xdr:rowOff>
    </xdr:to>
    <xdr:pic>
      <xdr:nvPicPr>
        <xdr:cNvPr id="303" name="Picture 302">
          <a:extLst>
            <a:ext uri="{FF2B5EF4-FFF2-40B4-BE49-F238E27FC236}">
              <a16:creationId xmlns:a16="http://schemas.microsoft.com/office/drawing/2014/main" id="{103EB92A-BC17-FA54-B128-4767CC2027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2630488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263525</xdr:colOff>
      <xdr:row>7</xdr:row>
      <xdr:rowOff>39688</xdr:rowOff>
    </xdr:from>
    <xdr:to>
      <xdr:col>99</xdr:col>
      <xdr:colOff>403225</xdr:colOff>
      <xdr:row>7</xdr:row>
      <xdr:rowOff>293688</xdr:rowOff>
    </xdr:to>
    <xdr:pic>
      <xdr:nvPicPr>
        <xdr:cNvPr id="306" name="Picture 305">
          <a:extLst>
            <a:ext uri="{FF2B5EF4-FFF2-40B4-BE49-F238E27FC236}">
              <a16:creationId xmlns:a16="http://schemas.microsoft.com/office/drawing/2014/main" id="{2EF94A3D-F476-14F5-FD8F-DC713511BF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18800" y="2630488"/>
          <a:ext cx="1397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7</xdr:row>
      <xdr:rowOff>39688</xdr:rowOff>
    </xdr:from>
    <xdr:to>
      <xdr:col>27</xdr:col>
      <xdr:colOff>460375</xdr:colOff>
      <xdr:row>7</xdr:row>
      <xdr:rowOff>293688</xdr:rowOff>
    </xdr:to>
    <xdr:pic>
      <xdr:nvPicPr>
        <xdr:cNvPr id="309" name="Picture 308">
          <a:extLst>
            <a:ext uri="{FF2B5EF4-FFF2-40B4-BE49-F238E27FC236}">
              <a16:creationId xmlns:a16="http://schemas.microsoft.com/office/drawing/2014/main" id="{59ACB820-C2E8-7E4D-9A48-642086F7EF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2630488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7</xdr:row>
      <xdr:rowOff>39688</xdr:rowOff>
    </xdr:from>
    <xdr:to>
      <xdr:col>171</xdr:col>
      <xdr:colOff>460375</xdr:colOff>
      <xdr:row>7</xdr:row>
      <xdr:rowOff>293688</xdr:rowOff>
    </xdr:to>
    <xdr:pic>
      <xdr:nvPicPr>
        <xdr:cNvPr id="312" name="Picture 311">
          <a:extLst>
            <a:ext uri="{FF2B5EF4-FFF2-40B4-BE49-F238E27FC236}">
              <a16:creationId xmlns:a16="http://schemas.microsoft.com/office/drawing/2014/main" id="{556F9D0E-68D6-907C-633A-1BA3F7A25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2630488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7</xdr:row>
      <xdr:rowOff>39688</xdr:rowOff>
    </xdr:from>
    <xdr:to>
      <xdr:col>51</xdr:col>
      <xdr:colOff>460375</xdr:colOff>
      <xdr:row>7</xdr:row>
      <xdr:rowOff>293688</xdr:rowOff>
    </xdr:to>
    <xdr:pic>
      <xdr:nvPicPr>
        <xdr:cNvPr id="315" name="Picture 314">
          <a:extLst>
            <a:ext uri="{FF2B5EF4-FFF2-40B4-BE49-F238E27FC236}">
              <a16:creationId xmlns:a16="http://schemas.microsoft.com/office/drawing/2014/main" id="{80D2E983-8B0E-DB63-A0DF-264527D96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2630488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7</xdr:row>
      <xdr:rowOff>39688</xdr:rowOff>
    </xdr:from>
    <xdr:to>
      <xdr:col>195</xdr:col>
      <xdr:colOff>460375</xdr:colOff>
      <xdr:row>7</xdr:row>
      <xdr:rowOff>293688</xdr:rowOff>
    </xdr:to>
    <xdr:pic>
      <xdr:nvPicPr>
        <xdr:cNvPr id="318" name="Picture 317">
          <a:extLst>
            <a:ext uri="{FF2B5EF4-FFF2-40B4-BE49-F238E27FC236}">
              <a16:creationId xmlns:a16="http://schemas.microsoft.com/office/drawing/2014/main" id="{7922396E-9FCF-2F5A-129D-DE23E790C4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2630488"/>
          <a:ext cx="254000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7</xdr:row>
      <xdr:rowOff>39688</xdr:rowOff>
    </xdr:from>
    <xdr:to>
      <xdr:col>63</xdr:col>
      <xdr:colOff>460375</xdr:colOff>
      <xdr:row>7</xdr:row>
      <xdr:rowOff>293688</xdr:rowOff>
    </xdr:to>
    <xdr:pic>
      <xdr:nvPicPr>
        <xdr:cNvPr id="321" name="Picture 320">
          <a:extLst>
            <a:ext uri="{FF2B5EF4-FFF2-40B4-BE49-F238E27FC236}">
              <a16:creationId xmlns:a16="http://schemas.microsoft.com/office/drawing/2014/main" id="{FDB50673-0F5D-0005-84DE-D8F5BC536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2630488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223131</xdr:colOff>
      <xdr:row>7</xdr:row>
      <xdr:rowOff>39688</xdr:rowOff>
    </xdr:from>
    <xdr:to>
      <xdr:col>183</xdr:col>
      <xdr:colOff>443617</xdr:colOff>
      <xdr:row>7</xdr:row>
      <xdr:rowOff>293688</xdr:rowOff>
    </xdr:to>
    <xdr:pic>
      <xdr:nvPicPr>
        <xdr:cNvPr id="324" name="Picture 323">
          <a:extLst>
            <a:ext uri="{FF2B5EF4-FFF2-40B4-BE49-F238E27FC236}">
              <a16:creationId xmlns:a16="http://schemas.microsoft.com/office/drawing/2014/main" id="{B1DBD826-56BD-D427-93C0-AE14187E1F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51431" y="2630488"/>
          <a:ext cx="220486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7</xdr:row>
      <xdr:rowOff>39688</xdr:rowOff>
    </xdr:from>
    <xdr:to>
      <xdr:col>219</xdr:col>
      <xdr:colOff>460375</xdr:colOff>
      <xdr:row>7</xdr:row>
      <xdr:rowOff>293688</xdr:rowOff>
    </xdr:to>
    <xdr:pic>
      <xdr:nvPicPr>
        <xdr:cNvPr id="327" name="Picture 326">
          <a:extLst>
            <a:ext uri="{FF2B5EF4-FFF2-40B4-BE49-F238E27FC236}">
              <a16:creationId xmlns:a16="http://schemas.microsoft.com/office/drawing/2014/main" id="{1ABB16D5-97CB-D295-BA6C-B2FE285CE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2630488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7</xdr:row>
      <xdr:rowOff>39688</xdr:rowOff>
    </xdr:from>
    <xdr:to>
      <xdr:col>87</xdr:col>
      <xdr:colOff>460375</xdr:colOff>
      <xdr:row>7</xdr:row>
      <xdr:rowOff>293688</xdr:rowOff>
    </xdr:to>
    <xdr:pic>
      <xdr:nvPicPr>
        <xdr:cNvPr id="330" name="Picture 329">
          <a:extLst>
            <a:ext uri="{FF2B5EF4-FFF2-40B4-BE49-F238E27FC236}">
              <a16:creationId xmlns:a16="http://schemas.microsoft.com/office/drawing/2014/main" id="{13F609B8-BF20-045B-AF5E-E5D309F8E1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2630488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230001</xdr:colOff>
      <xdr:row>7</xdr:row>
      <xdr:rowOff>39688</xdr:rowOff>
    </xdr:from>
    <xdr:to>
      <xdr:col>231</xdr:col>
      <xdr:colOff>436745</xdr:colOff>
      <xdr:row>7</xdr:row>
      <xdr:rowOff>293688</xdr:rowOff>
    </xdr:to>
    <xdr:pic>
      <xdr:nvPicPr>
        <xdr:cNvPr id="333" name="Picture 332">
          <a:extLst>
            <a:ext uri="{FF2B5EF4-FFF2-40B4-BE49-F238E27FC236}">
              <a16:creationId xmlns:a16="http://schemas.microsoft.com/office/drawing/2014/main" id="{F634E9F9-9BDC-2517-EE83-77FBFC13F7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28601" y="2630488"/>
          <a:ext cx="206744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7</xdr:row>
      <xdr:rowOff>39688</xdr:rowOff>
    </xdr:from>
    <xdr:to>
      <xdr:col>123</xdr:col>
      <xdr:colOff>460375</xdr:colOff>
      <xdr:row>7</xdr:row>
      <xdr:rowOff>293688</xdr:rowOff>
    </xdr:to>
    <xdr:pic>
      <xdr:nvPicPr>
        <xdr:cNvPr id="336" name="Picture 335">
          <a:extLst>
            <a:ext uri="{FF2B5EF4-FFF2-40B4-BE49-F238E27FC236}">
              <a16:creationId xmlns:a16="http://schemas.microsoft.com/office/drawing/2014/main" id="{38756758-43D9-928E-201F-A9D84CBC58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2630488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7</xdr:row>
      <xdr:rowOff>39688</xdr:rowOff>
    </xdr:from>
    <xdr:to>
      <xdr:col>159</xdr:col>
      <xdr:colOff>460375</xdr:colOff>
      <xdr:row>7</xdr:row>
      <xdr:rowOff>293688</xdr:rowOff>
    </xdr:to>
    <xdr:pic>
      <xdr:nvPicPr>
        <xdr:cNvPr id="339" name="Picture 338">
          <a:extLst>
            <a:ext uri="{FF2B5EF4-FFF2-40B4-BE49-F238E27FC236}">
              <a16:creationId xmlns:a16="http://schemas.microsoft.com/office/drawing/2014/main" id="{01B2096C-CD9D-CB6D-36A3-A227EC0021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2630488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7</xdr:row>
      <xdr:rowOff>39688</xdr:rowOff>
    </xdr:from>
    <xdr:to>
      <xdr:col>75</xdr:col>
      <xdr:colOff>460375</xdr:colOff>
      <xdr:row>7</xdr:row>
      <xdr:rowOff>293688</xdr:rowOff>
    </xdr:to>
    <xdr:pic>
      <xdr:nvPicPr>
        <xdr:cNvPr id="342" name="Picture 341">
          <a:extLst>
            <a:ext uri="{FF2B5EF4-FFF2-40B4-BE49-F238E27FC236}">
              <a16:creationId xmlns:a16="http://schemas.microsoft.com/office/drawing/2014/main" id="{D5A2FF3A-1A28-6A16-FFB2-67C17EE747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2630488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7</xdr:row>
      <xdr:rowOff>39688</xdr:rowOff>
    </xdr:from>
    <xdr:to>
      <xdr:col>111</xdr:col>
      <xdr:colOff>460375</xdr:colOff>
      <xdr:row>7</xdr:row>
      <xdr:rowOff>293688</xdr:rowOff>
    </xdr:to>
    <xdr:pic>
      <xdr:nvPicPr>
        <xdr:cNvPr id="345" name="Picture 344">
          <a:extLst>
            <a:ext uri="{FF2B5EF4-FFF2-40B4-BE49-F238E27FC236}">
              <a16:creationId xmlns:a16="http://schemas.microsoft.com/office/drawing/2014/main" id="{926C9EF6-75E1-56C1-9885-419A46E9EA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2630488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7</xdr:row>
      <xdr:rowOff>39688</xdr:rowOff>
    </xdr:from>
    <xdr:to>
      <xdr:col>39</xdr:col>
      <xdr:colOff>460375</xdr:colOff>
      <xdr:row>7</xdr:row>
      <xdr:rowOff>293688</xdr:rowOff>
    </xdr:to>
    <xdr:pic>
      <xdr:nvPicPr>
        <xdr:cNvPr id="348" name="Picture 347">
          <a:extLst>
            <a:ext uri="{FF2B5EF4-FFF2-40B4-BE49-F238E27FC236}">
              <a16:creationId xmlns:a16="http://schemas.microsoft.com/office/drawing/2014/main" id="{ACB54736-3C0D-2913-C68A-C42328D5A1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2630488"/>
          <a:ext cx="254000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7</xdr:row>
      <xdr:rowOff>39688</xdr:rowOff>
    </xdr:from>
    <xdr:to>
      <xdr:col>207</xdr:col>
      <xdr:colOff>460375</xdr:colOff>
      <xdr:row>7</xdr:row>
      <xdr:rowOff>293688</xdr:rowOff>
    </xdr:to>
    <xdr:pic>
      <xdr:nvPicPr>
        <xdr:cNvPr id="351" name="Picture 350">
          <a:extLst>
            <a:ext uri="{FF2B5EF4-FFF2-40B4-BE49-F238E27FC236}">
              <a16:creationId xmlns:a16="http://schemas.microsoft.com/office/drawing/2014/main" id="{FA49F9EB-A4EE-0124-05EC-F313BC77AD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263048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181209</xdr:colOff>
      <xdr:row>7</xdr:row>
      <xdr:rowOff>39688</xdr:rowOff>
    </xdr:from>
    <xdr:to>
      <xdr:col>15</xdr:col>
      <xdr:colOff>485541</xdr:colOff>
      <xdr:row>7</xdr:row>
      <xdr:rowOff>293688</xdr:rowOff>
    </xdr:to>
    <xdr:pic>
      <xdr:nvPicPr>
        <xdr:cNvPr id="354" name="Picture 353">
          <a:extLst>
            <a:ext uri="{FF2B5EF4-FFF2-40B4-BE49-F238E27FC236}">
              <a16:creationId xmlns:a16="http://schemas.microsoft.com/office/drawing/2014/main" id="{2334BAE6-AB52-D12E-AAF1-517CF718D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44409" y="2630488"/>
          <a:ext cx="304332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7</xdr:row>
      <xdr:rowOff>39688</xdr:rowOff>
    </xdr:from>
    <xdr:to>
      <xdr:col>3</xdr:col>
      <xdr:colOff>460375</xdr:colOff>
      <xdr:row>7</xdr:row>
      <xdr:rowOff>293688</xdr:rowOff>
    </xdr:to>
    <xdr:pic>
      <xdr:nvPicPr>
        <xdr:cNvPr id="357" name="Picture 356">
          <a:extLst>
            <a:ext uri="{FF2B5EF4-FFF2-40B4-BE49-F238E27FC236}">
              <a16:creationId xmlns:a16="http://schemas.microsoft.com/office/drawing/2014/main" id="{6480A1BC-026A-F517-57C0-084C4FBFC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2630488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7</xdr:row>
      <xdr:rowOff>39688</xdr:rowOff>
    </xdr:from>
    <xdr:to>
      <xdr:col>147</xdr:col>
      <xdr:colOff>460375</xdr:colOff>
      <xdr:row>7</xdr:row>
      <xdr:rowOff>293688</xdr:rowOff>
    </xdr:to>
    <xdr:pic>
      <xdr:nvPicPr>
        <xdr:cNvPr id="360" name="Picture 359">
          <a:extLst>
            <a:ext uri="{FF2B5EF4-FFF2-40B4-BE49-F238E27FC236}">
              <a16:creationId xmlns:a16="http://schemas.microsoft.com/office/drawing/2014/main" id="{26CA2060-C684-D733-5900-63582D3DA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2630488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8</xdr:row>
      <xdr:rowOff>39688</xdr:rowOff>
    </xdr:from>
    <xdr:to>
      <xdr:col>39</xdr:col>
      <xdr:colOff>460375</xdr:colOff>
      <xdr:row>8</xdr:row>
      <xdr:rowOff>293688</xdr:rowOff>
    </xdr:to>
    <xdr:pic>
      <xdr:nvPicPr>
        <xdr:cNvPr id="363" name="Picture 362">
          <a:extLst>
            <a:ext uri="{FF2B5EF4-FFF2-40B4-BE49-F238E27FC236}">
              <a16:creationId xmlns:a16="http://schemas.microsoft.com/office/drawing/2014/main" id="{51AA34F2-1F2B-B3D0-4502-368D32B07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2963863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8</xdr:row>
      <xdr:rowOff>39688</xdr:rowOff>
    </xdr:from>
    <xdr:to>
      <xdr:col>159</xdr:col>
      <xdr:colOff>460375</xdr:colOff>
      <xdr:row>8</xdr:row>
      <xdr:rowOff>293688</xdr:rowOff>
    </xdr:to>
    <xdr:pic>
      <xdr:nvPicPr>
        <xdr:cNvPr id="366" name="Picture 365">
          <a:extLst>
            <a:ext uri="{FF2B5EF4-FFF2-40B4-BE49-F238E27FC236}">
              <a16:creationId xmlns:a16="http://schemas.microsoft.com/office/drawing/2014/main" id="{03A46D02-21D9-F1B4-2222-7C268F63D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2963863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8</xdr:row>
      <xdr:rowOff>39688</xdr:rowOff>
    </xdr:from>
    <xdr:to>
      <xdr:col>15</xdr:col>
      <xdr:colOff>460375</xdr:colOff>
      <xdr:row>8</xdr:row>
      <xdr:rowOff>293688</xdr:rowOff>
    </xdr:to>
    <xdr:pic>
      <xdr:nvPicPr>
        <xdr:cNvPr id="369" name="Picture 368">
          <a:extLst>
            <a:ext uri="{FF2B5EF4-FFF2-40B4-BE49-F238E27FC236}">
              <a16:creationId xmlns:a16="http://schemas.microsoft.com/office/drawing/2014/main" id="{07F318FF-5DD4-F948-886E-08E093C6B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2963863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8</xdr:row>
      <xdr:rowOff>39688</xdr:rowOff>
    </xdr:from>
    <xdr:to>
      <xdr:col>111</xdr:col>
      <xdr:colOff>460375</xdr:colOff>
      <xdr:row>8</xdr:row>
      <xdr:rowOff>293688</xdr:rowOff>
    </xdr:to>
    <xdr:pic>
      <xdr:nvPicPr>
        <xdr:cNvPr id="372" name="Picture 371">
          <a:extLst>
            <a:ext uri="{FF2B5EF4-FFF2-40B4-BE49-F238E27FC236}">
              <a16:creationId xmlns:a16="http://schemas.microsoft.com/office/drawing/2014/main" id="{21D8A25D-FADE-8CE1-7155-41819E954B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2963863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8</xdr:row>
      <xdr:rowOff>39688</xdr:rowOff>
    </xdr:from>
    <xdr:to>
      <xdr:col>75</xdr:col>
      <xdr:colOff>460375</xdr:colOff>
      <xdr:row>8</xdr:row>
      <xdr:rowOff>293688</xdr:rowOff>
    </xdr:to>
    <xdr:pic>
      <xdr:nvPicPr>
        <xdr:cNvPr id="375" name="Picture 374">
          <a:extLst>
            <a:ext uri="{FF2B5EF4-FFF2-40B4-BE49-F238E27FC236}">
              <a16:creationId xmlns:a16="http://schemas.microsoft.com/office/drawing/2014/main" id="{A581548B-EAF4-CEC4-D08C-75E9AC919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2963863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8</xdr:row>
      <xdr:rowOff>39688</xdr:rowOff>
    </xdr:from>
    <xdr:to>
      <xdr:col>51</xdr:col>
      <xdr:colOff>460375</xdr:colOff>
      <xdr:row>8</xdr:row>
      <xdr:rowOff>293688</xdr:rowOff>
    </xdr:to>
    <xdr:pic>
      <xdr:nvPicPr>
        <xdr:cNvPr id="378" name="Picture 377">
          <a:extLst>
            <a:ext uri="{FF2B5EF4-FFF2-40B4-BE49-F238E27FC236}">
              <a16:creationId xmlns:a16="http://schemas.microsoft.com/office/drawing/2014/main" id="{6047677A-04B7-6F48-EC62-D8EAD21B78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2963863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263525</xdr:colOff>
      <xdr:row>8</xdr:row>
      <xdr:rowOff>39688</xdr:rowOff>
    </xdr:from>
    <xdr:to>
      <xdr:col>87</xdr:col>
      <xdr:colOff>403225</xdr:colOff>
      <xdr:row>8</xdr:row>
      <xdr:rowOff>293688</xdr:rowOff>
    </xdr:to>
    <xdr:pic>
      <xdr:nvPicPr>
        <xdr:cNvPr id="381" name="Picture 380">
          <a:extLst>
            <a:ext uri="{FF2B5EF4-FFF2-40B4-BE49-F238E27FC236}">
              <a16:creationId xmlns:a16="http://schemas.microsoft.com/office/drawing/2014/main" id="{592187CE-C40B-0A5F-BC69-BF2CDB2BC0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51225" y="2963863"/>
          <a:ext cx="1397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8</xdr:row>
      <xdr:rowOff>39688</xdr:rowOff>
    </xdr:from>
    <xdr:to>
      <xdr:col>135</xdr:col>
      <xdr:colOff>460375</xdr:colOff>
      <xdr:row>8</xdr:row>
      <xdr:rowOff>293688</xdr:rowOff>
    </xdr:to>
    <xdr:pic>
      <xdr:nvPicPr>
        <xdr:cNvPr id="384" name="Picture 383">
          <a:extLst>
            <a:ext uri="{FF2B5EF4-FFF2-40B4-BE49-F238E27FC236}">
              <a16:creationId xmlns:a16="http://schemas.microsoft.com/office/drawing/2014/main" id="{A290EB28-A3BF-E9C2-5BC1-0389737D0F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2963863"/>
          <a:ext cx="254000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8</xdr:row>
      <xdr:rowOff>39688</xdr:rowOff>
    </xdr:from>
    <xdr:to>
      <xdr:col>123</xdr:col>
      <xdr:colOff>460375</xdr:colOff>
      <xdr:row>8</xdr:row>
      <xdr:rowOff>293688</xdr:rowOff>
    </xdr:to>
    <xdr:pic>
      <xdr:nvPicPr>
        <xdr:cNvPr id="387" name="Picture 386">
          <a:extLst>
            <a:ext uri="{FF2B5EF4-FFF2-40B4-BE49-F238E27FC236}">
              <a16:creationId xmlns:a16="http://schemas.microsoft.com/office/drawing/2014/main" id="{FB791950-E386-ABD6-36ED-11101F44C1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2963863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230003</xdr:colOff>
      <xdr:row>8</xdr:row>
      <xdr:rowOff>39688</xdr:rowOff>
    </xdr:from>
    <xdr:to>
      <xdr:col>27</xdr:col>
      <xdr:colOff>436747</xdr:colOff>
      <xdr:row>8</xdr:row>
      <xdr:rowOff>293688</xdr:rowOff>
    </xdr:to>
    <xdr:pic>
      <xdr:nvPicPr>
        <xdr:cNvPr id="390" name="Picture 389">
          <a:extLst>
            <a:ext uri="{FF2B5EF4-FFF2-40B4-BE49-F238E27FC236}">
              <a16:creationId xmlns:a16="http://schemas.microsoft.com/office/drawing/2014/main" id="{558782E4-89ED-0DE4-6988-ECA06AF4C4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70303" y="2963863"/>
          <a:ext cx="206744" cy="254000"/>
        </a:xfrm>
        <a:prstGeom prst="rect">
          <a:avLst/>
        </a:prstGeom>
      </xdr:spPr>
    </xdr:pic>
    <xdr:clientData/>
  </xdr:twoCellAnchor>
  <xdr:twoCellAnchor>
    <xdr:from>
      <xdr:col>147</xdr:col>
      <xdr:colOff>223131</xdr:colOff>
      <xdr:row>8</xdr:row>
      <xdr:rowOff>39688</xdr:rowOff>
    </xdr:from>
    <xdr:to>
      <xdr:col>147</xdr:col>
      <xdr:colOff>443617</xdr:colOff>
      <xdr:row>8</xdr:row>
      <xdr:rowOff>293688</xdr:rowOff>
    </xdr:to>
    <xdr:pic>
      <xdr:nvPicPr>
        <xdr:cNvPr id="393" name="Picture 392">
          <a:extLst>
            <a:ext uri="{FF2B5EF4-FFF2-40B4-BE49-F238E27FC236}">
              <a16:creationId xmlns:a16="http://schemas.microsoft.com/office/drawing/2014/main" id="{9BBF6E9A-300D-916C-C8D6-DE97EF6A77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48706" y="2963863"/>
          <a:ext cx="220486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8</xdr:row>
      <xdr:rowOff>39688</xdr:rowOff>
    </xdr:from>
    <xdr:to>
      <xdr:col>63</xdr:col>
      <xdr:colOff>460375</xdr:colOff>
      <xdr:row>8</xdr:row>
      <xdr:rowOff>293688</xdr:rowOff>
    </xdr:to>
    <xdr:pic>
      <xdr:nvPicPr>
        <xdr:cNvPr id="396" name="Picture 395">
          <a:extLst>
            <a:ext uri="{FF2B5EF4-FFF2-40B4-BE49-F238E27FC236}">
              <a16:creationId xmlns:a16="http://schemas.microsoft.com/office/drawing/2014/main" id="{F3BCA40A-29DC-5E7F-DE8E-3954112268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2963863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181211</xdr:colOff>
      <xdr:row>8</xdr:row>
      <xdr:rowOff>39688</xdr:rowOff>
    </xdr:from>
    <xdr:to>
      <xdr:col>183</xdr:col>
      <xdr:colOff>485543</xdr:colOff>
      <xdr:row>8</xdr:row>
      <xdr:rowOff>293688</xdr:rowOff>
    </xdr:to>
    <xdr:pic>
      <xdr:nvPicPr>
        <xdr:cNvPr id="399" name="Picture 398">
          <a:extLst>
            <a:ext uri="{FF2B5EF4-FFF2-40B4-BE49-F238E27FC236}">
              <a16:creationId xmlns:a16="http://schemas.microsoft.com/office/drawing/2014/main" id="{E1C8D494-F02B-FFE5-5D2F-01AEE09097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09511" y="2963863"/>
          <a:ext cx="304332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8</xdr:row>
      <xdr:rowOff>39688</xdr:rowOff>
    </xdr:from>
    <xdr:to>
      <xdr:col>207</xdr:col>
      <xdr:colOff>460375</xdr:colOff>
      <xdr:row>8</xdr:row>
      <xdr:rowOff>293688</xdr:rowOff>
    </xdr:to>
    <xdr:pic>
      <xdr:nvPicPr>
        <xdr:cNvPr id="402" name="Picture 401">
          <a:extLst>
            <a:ext uri="{FF2B5EF4-FFF2-40B4-BE49-F238E27FC236}">
              <a16:creationId xmlns:a16="http://schemas.microsoft.com/office/drawing/2014/main" id="{E672646F-F067-5ADD-BCD1-8867F52C80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2963863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8</xdr:row>
      <xdr:rowOff>39688</xdr:rowOff>
    </xdr:from>
    <xdr:to>
      <xdr:col>195</xdr:col>
      <xdr:colOff>460375</xdr:colOff>
      <xdr:row>8</xdr:row>
      <xdr:rowOff>293688</xdr:rowOff>
    </xdr:to>
    <xdr:pic>
      <xdr:nvPicPr>
        <xdr:cNvPr id="405" name="Picture 404">
          <a:extLst>
            <a:ext uri="{FF2B5EF4-FFF2-40B4-BE49-F238E27FC236}">
              <a16:creationId xmlns:a16="http://schemas.microsoft.com/office/drawing/2014/main" id="{6DE5A219-B55C-7404-1392-3E3AF37E85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2963863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8</xdr:row>
      <xdr:rowOff>39688</xdr:rowOff>
    </xdr:from>
    <xdr:to>
      <xdr:col>231</xdr:col>
      <xdr:colOff>460375</xdr:colOff>
      <xdr:row>8</xdr:row>
      <xdr:rowOff>293688</xdr:rowOff>
    </xdr:to>
    <xdr:pic>
      <xdr:nvPicPr>
        <xdr:cNvPr id="408" name="Picture 407">
          <a:extLst>
            <a:ext uri="{FF2B5EF4-FFF2-40B4-BE49-F238E27FC236}">
              <a16:creationId xmlns:a16="http://schemas.microsoft.com/office/drawing/2014/main" id="{6FA232BE-7C27-5969-D2C1-ED6B01589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2963863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8</xdr:row>
      <xdr:rowOff>39688</xdr:rowOff>
    </xdr:from>
    <xdr:to>
      <xdr:col>171</xdr:col>
      <xdr:colOff>460375</xdr:colOff>
      <xdr:row>8</xdr:row>
      <xdr:rowOff>293688</xdr:rowOff>
    </xdr:to>
    <xdr:pic>
      <xdr:nvPicPr>
        <xdr:cNvPr id="411" name="Picture 410">
          <a:extLst>
            <a:ext uri="{FF2B5EF4-FFF2-40B4-BE49-F238E27FC236}">
              <a16:creationId xmlns:a16="http://schemas.microsoft.com/office/drawing/2014/main" id="{5D6DE7F3-57FA-F94A-F8A2-48468C25DD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296386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8</xdr:row>
      <xdr:rowOff>39688</xdr:rowOff>
    </xdr:from>
    <xdr:to>
      <xdr:col>3</xdr:col>
      <xdr:colOff>460375</xdr:colOff>
      <xdr:row>8</xdr:row>
      <xdr:rowOff>293688</xdr:rowOff>
    </xdr:to>
    <xdr:pic>
      <xdr:nvPicPr>
        <xdr:cNvPr id="414" name="Picture 413">
          <a:extLst>
            <a:ext uri="{FF2B5EF4-FFF2-40B4-BE49-F238E27FC236}">
              <a16:creationId xmlns:a16="http://schemas.microsoft.com/office/drawing/2014/main" id="{841E50EF-FE3F-6B00-CAE9-9086F32520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2963863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8</xdr:row>
      <xdr:rowOff>39688</xdr:rowOff>
    </xdr:from>
    <xdr:to>
      <xdr:col>99</xdr:col>
      <xdr:colOff>460375</xdr:colOff>
      <xdr:row>8</xdr:row>
      <xdr:rowOff>293688</xdr:rowOff>
    </xdr:to>
    <xdr:pic>
      <xdr:nvPicPr>
        <xdr:cNvPr id="417" name="Picture 416">
          <a:extLst>
            <a:ext uri="{FF2B5EF4-FFF2-40B4-BE49-F238E27FC236}">
              <a16:creationId xmlns:a16="http://schemas.microsoft.com/office/drawing/2014/main" id="{97087AEA-E355-7E07-D9FE-A46154D53B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2963863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8</xdr:row>
      <xdr:rowOff>39688</xdr:rowOff>
    </xdr:from>
    <xdr:to>
      <xdr:col>219</xdr:col>
      <xdr:colOff>460375</xdr:colOff>
      <xdr:row>8</xdr:row>
      <xdr:rowOff>293688</xdr:rowOff>
    </xdr:to>
    <xdr:pic>
      <xdr:nvPicPr>
        <xdr:cNvPr id="420" name="Picture 419">
          <a:extLst>
            <a:ext uri="{FF2B5EF4-FFF2-40B4-BE49-F238E27FC236}">
              <a16:creationId xmlns:a16="http://schemas.microsoft.com/office/drawing/2014/main" id="{19FABC61-CF61-EBA7-0597-2503DA11AE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296386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10</xdr:row>
      <xdr:rowOff>39688</xdr:rowOff>
    </xdr:from>
    <xdr:to>
      <xdr:col>3</xdr:col>
      <xdr:colOff>460375</xdr:colOff>
      <xdr:row>10</xdr:row>
      <xdr:rowOff>293688</xdr:rowOff>
    </xdr:to>
    <xdr:pic>
      <xdr:nvPicPr>
        <xdr:cNvPr id="423" name="Picture 422">
          <a:extLst>
            <a:ext uri="{FF2B5EF4-FFF2-40B4-BE49-F238E27FC236}">
              <a16:creationId xmlns:a16="http://schemas.microsoft.com/office/drawing/2014/main" id="{A57FF770-8A05-33B2-A564-A32419723B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3630613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10</xdr:row>
      <xdr:rowOff>39688</xdr:rowOff>
    </xdr:from>
    <xdr:to>
      <xdr:col>219</xdr:col>
      <xdr:colOff>460375</xdr:colOff>
      <xdr:row>10</xdr:row>
      <xdr:rowOff>293688</xdr:rowOff>
    </xdr:to>
    <xdr:pic>
      <xdr:nvPicPr>
        <xdr:cNvPr id="426" name="Picture 425">
          <a:extLst>
            <a:ext uri="{FF2B5EF4-FFF2-40B4-BE49-F238E27FC236}">
              <a16:creationId xmlns:a16="http://schemas.microsoft.com/office/drawing/2014/main" id="{F989716A-53DD-14BA-4038-6D86E5828C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3630613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223132</xdr:colOff>
      <xdr:row>10</xdr:row>
      <xdr:rowOff>39688</xdr:rowOff>
    </xdr:from>
    <xdr:to>
      <xdr:col>15</xdr:col>
      <xdr:colOff>443618</xdr:colOff>
      <xdr:row>10</xdr:row>
      <xdr:rowOff>293688</xdr:rowOff>
    </xdr:to>
    <xdr:pic>
      <xdr:nvPicPr>
        <xdr:cNvPr id="429" name="Picture 428">
          <a:extLst>
            <a:ext uri="{FF2B5EF4-FFF2-40B4-BE49-F238E27FC236}">
              <a16:creationId xmlns:a16="http://schemas.microsoft.com/office/drawing/2014/main" id="{B72F51CF-50E9-337D-87DD-3E4BC2C08A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6332" y="3630613"/>
          <a:ext cx="220486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10</xdr:row>
      <xdr:rowOff>39688</xdr:rowOff>
    </xdr:from>
    <xdr:to>
      <xdr:col>63</xdr:col>
      <xdr:colOff>460375</xdr:colOff>
      <xdr:row>10</xdr:row>
      <xdr:rowOff>293688</xdr:rowOff>
    </xdr:to>
    <xdr:pic>
      <xdr:nvPicPr>
        <xdr:cNvPr id="432" name="Picture 431">
          <a:extLst>
            <a:ext uri="{FF2B5EF4-FFF2-40B4-BE49-F238E27FC236}">
              <a16:creationId xmlns:a16="http://schemas.microsoft.com/office/drawing/2014/main" id="{EF8E4D50-1057-05BC-F1B7-D46CB42B70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3630613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10</xdr:row>
      <xdr:rowOff>39688</xdr:rowOff>
    </xdr:from>
    <xdr:to>
      <xdr:col>27</xdr:col>
      <xdr:colOff>460375</xdr:colOff>
      <xdr:row>10</xdr:row>
      <xdr:rowOff>293688</xdr:rowOff>
    </xdr:to>
    <xdr:pic>
      <xdr:nvPicPr>
        <xdr:cNvPr id="435" name="Picture 434">
          <a:extLst>
            <a:ext uri="{FF2B5EF4-FFF2-40B4-BE49-F238E27FC236}">
              <a16:creationId xmlns:a16="http://schemas.microsoft.com/office/drawing/2014/main" id="{1FD52205-A404-1DE7-33CC-3AC9F74E1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3630613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10</xdr:row>
      <xdr:rowOff>39688</xdr:rowOff>
    </xdr:from>
    <xdr:to>
      <xdr:col>111</xdr:col>
      <xdr:colOff>460375</xdr:colOff>
      <xdr:row>10</xdr:row>
      <xdr:rowOff>293688</xdr:rowOff>
    </xdr:to>
    <xdr:pic>
      <xdr:nvPicPr>
        <xdr:cNvPr id="438" name="Picture 437">
          <a:extLst>
            <a:ext uri="{FF2B5EF4-FFF2-40B4-BE49-F238E27FC236}">
              <a16:creationId xmlns:a16="http://schemas.microsoft.com/office/drawing/2014/main" id="{E68E7C83-EC7F-D68F-42A4-A6C6822D9A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3630613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10</xdr:row>
      <xdr:rowOff>39688</xdr:rowOff>
    </xdr:from>
    <xdr:to>
      <xdr:col>39</xdr:col>
      <xdr:colOff>460375</xdr:colOff>
      <xdr:row>10</xdr:row>
      <xdr:rowOff>293688</xdr:rowOff>
    </xdr:to>
    <xdr:pic>
      <xdr:nvPicPr>
        <xdr:cNvPr id="441" name="Picture 440">
          <a:extLst>
            <a:ext uri="{FF2B5EF4-FFF2-40B4-BE49-F238E27FC236}">
              <a16:creationId xmlns:a16="http://schemas.microsoft.com/office/drawing/2014/main" id="{5B32FC80-C06B-143B-EF92-F09BBF09E9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3630613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10</xdr:row>
      <xdr:rowOff>39688</xdr:rowOff>
    </xdr:from>
    <xdr:to>
      <xdr:col>147</xdr:col>
      <xdr:colOff>460375</xdr:colOff>
      <xdr:row>10</xdr:row>
      <xdr:rowOff>293688</xdr:rowOff>
    </xdr:to>
    <xdr:pic>
      <xdr:nvPicPr>
        <xdr:cNvPr id="444" name="Picture 443">
          <a:extLst>
            <a:ext uri="{FF2B5EF4-FFF2-40B4-BE49-F238E27FC236}">
              <a16:creationId xmlns:a16="http://schemas.microsoft.com/office/drawing/2014/main" id="{3311261E-EB26-1DAB-C078-689327911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3630613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263525</xdr:colOff>
      <xdr:row>10</xdr:row>
      <xdr:rowOff>39688</xdr:rowOff>
    </xdr:from>
    <xdr:to>
      <xdr:col>75</xdr:col>
      <xdr:colOff>403225</xdr:colOff>
      <xdr:row>10</xdr:row>
      <xdr:rowOff>293688</xdr:rowOff>
    </xdr:to>
    <xdr:pic>
      <xdr:nvPicPr>
        <xdr:cNvPr id="447" name="Picture 446">
          <a:extLst>
            <a:ext uri="{FF2B5EF4-FFF2-40B4-BE49-F238E27FC236}">
              <a16:creationId xmlns:a16="http://schemas.microsoft.com/office/drawing/2014/main" id="{BAB272DF-E57B-6D99-F78E-4564733A25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83650" y="3630613"/>
          <a:ext cx="1397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10</xdr:row>
      <xdr:rowOff>39688</xdr:rowOff>
    </xdr:from>
    <xdr:to>
      <xdr:col>135</xdr:col>
      <xdr:colOff>460375</xdr:colOff>
      <xdr:row>10</xdr:row>
      <xdr:rowOff>293688</xdr:rowOff>
    </xdr:to>
    <xdr:pic>
      <xdr:nvPicPr>
        <xdr:cNvPr id="450" name="Picture 449">
          <a:extLst>
            <a:ext uri="{FF2B5EF4-FFF2-40B4-BE49-F238E27FC236}">
              <a16:creationId xmlns:a16="http://schemas.microsoft.com/office/drawing/2014/main" id="{B56D3C6E-1BB8-8ED2-A173-880E24FBD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3630613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10</xdr:row>
      <xdr:rowOff>39688</xdr:rowOff>
    </xdr:from>
    <xdr:to>
      <xdr:col>99</xdr:col>
      <xdr:colOff>460375</xdr:colOff>
      <xdr:row>10</xdr:row>
      <xdr:rowOff>293688</xdr:rowOff>
    </xdr:to>
    <xdr:pic>
      <xdr:nvPicPr>
        <xdr:cNvPr id="453" name="Picture 452">
          <a:extLst>
            <a:ext uri="{FF2B5EF4-FFF2-40B4-BE49-F238E27FC236}">
              <a16:creationId xmlns:a16="http://schemas.microsoft.com/office/drawing/2014/main" id="{BD00FB4B-9BF1-C293-A2D5-BA074E1F01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3630613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10</xdr:row>
      <xdr:rowOff>39688</xdr:rowOff>
    </xdr:from>
    <xdr:to>
      <xdr:col>87</xdr:col>
      <xdr:colOff>460375</xdr:colOff>
      <xdr:row>10</xdr:row>
      <xdr:rowOff>293688</xdr:rowOff>
    </xdr:to>
    <xdr:pic>
      <xdr:nvPicPr>
        <xdr:cNvPr id="456" name="Picture 455">
          <a:extLst>
            <a:ext uri="{FF2B5EF4-FFF2-40B4-BE49-F238E27FC236}">
              <a16:creationId xmlns:a16="http://schemas.microsoft.com/office/drawing/2014/main" id="{3418DB12-B796-84D5-2C14-C9BD3A2D01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3630613"/>
          <a:ext cx="254000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10</xdr:row>
      <xdr:rowOff>39688</xdr:rowOff>
    </xdr:from>
    <xdr:to>
      <xdr:col>123</xdr:col>
      <xdr:colOff>460375</xdr:colOff>
      <xdr:row>10</xdr:row>
      <xdr:rowOff>293688</xdr:rowOff>
    </xdr:to>
    <xdr:pic>
      <xdr:nvPicPr>
        <xdr:cNvPr id="459" name="Picture 458">
          <a:extLst>
            <a:ext uri="{FF2B5EF4-FFF2-40B4-BE49-F238E27FC236}">
              <a16:creationId xmlns:a16="http://schemas.microsoft.com/office/drawing/2014/main" id="{A61031F1-3970-2D7E-0CF7-B65D86B238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3630613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230001</xdr:colOff>
      <xdr:row>10</xdr:row>
      <xdr:rowOff>39688</xdr:rowOff>
    </xdr:from>
    <xdr:to>
      <xdr:col>195</xdr:col>
      <xdr:colOff>436745</xdr:colOff>
      <xdr:row>10</xdr:row>
      <xdr:rowOff>293688</xdr:rowOff>
    </xdr:to>
    <xdr:pic>
      <xdr:nvPicPr>
        <xdr:cNvPr id="462" name="Picture 461">
          <a:extLst>
            <a:ext uri="{FF2B5EF4-FFF2-40B4-BE49-F238E27FC236}">
              <a16:creationId xmlns:a16="http://schemas.microsoft.com/office/drawing/2014/main" id="{DBF5B454-F708-E8C6-AB36-ADF3F38AA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25876" y="3630613"/>
          <a:ext cx="206744" cy="254000"/>
        </a:xfrm>
        <a:prstGeom prst="rect">
          <a:avLst/>
        </a:prstGeom>
      </xdr:spPr>
    </xdr:pic>
    <xdr:clientData/>
  </xdr:twoCellAnchor>
  <xdr:twoCellAnchor>
    <xdr:from>
      <xdr:col>159</xdr:col>
      <xdr:colOff>181211</xdr:colOff>
      <xdr:row>10</xdr:row>
      <xdr:rowOff>39688</xdr:rowOff>
    </xdr:from>
    <xdr:to>
      <xdr:col>159</xdr:col>
      <xdr:colOff>485543</xdr:colOff>
      <xdr:row>10</xdr:row>
      <xdr:rowOff>293688</xdr:rowOff>
    </xdr:to>
    <xdr:pic>
      <xdr:nvPicPr>
        <xdr:cNvPr id="465" name="Picture 464">
          <a:extLst>
            <a:ext uri="{FF2B5EF4-FFF2-40B4-BE49-F238E27FC236}">
              <a16:creationId xmlns:a16="http://schemas.microsoft.com/office/drawing/2014/main" id="{23AB5269-4AE9-8E7A-2B87-4F15775273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74361" y="3630613"/>
          <a:ext cx="304332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10</xdr:row>
      <xdr:rowOff>39688</xdr:rowOff>
    </xdr:from>
    <xdr:to>
      <xdr:col>207</xdr:col>
      <xdr:colOff>460375</xdr:colOff>
      <xdr:row>10</xdr:row>
      <xdr:rowOff>293688</xdr:rowOff>
    </xdr:to>
    <xdr:pic>
      <xdr:nvPicPr>
        <xdr:cNvPr id="468" name="Picture 467">
          <a:extLst>
            <a:ext uri="{FF2B5EF4-FFF2-40B4-BE49-F238E27FC236}">
              <a16:creationId xmlns:a16="http://schemas.microsoft.com/office/drawing/2014/main" id="{EDCD9895-B308-0F2B-8FC5-D9B58418B4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3630613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10</xdr:row>
      <xdr:rowOff>39688</xdr:rowOff>
    </xdr:from>
    <xdr:to>
      <xdr:col>171</xdr:col>
      <xdr:colOff>460375</xdr:colOff>
      <xdr:row>10</xdr:row>
      <xdr:rowOff>293688</xdr:rowOff>
    </xdr:to>
    <xdr:pic>
      <xdr:nvPicPr>
        <xdr:cNvPr id="471" name="Picture 470">
          <a:extLst>
            <a:ext uri="{FF2B5EF4-FFF2-40B4-BE49-F238E27FC236}">
              <a16:creationId xmlns:a16="http://schemas.microsoft.com/office/drawing/2014/main" id="{7011878C-595C-84D2-0CDB-74DDE8826F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3630613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10</xdr:row>
      <xdr:rowOff>39688</xdr:rowOff>
    </xdr:from>
    <xdr:to>
      <xdr:col>183</xdr:col>
      <xdr:colOff>460375</xdr:colOff>
      <xdr:row>10</xdr:row>
      <xdr:rowOff>293688</xdr:rowOff>
    </xdr:to>
    <xdr:pic>
      <xdr:nvPicPr>
        <xdr:cNvPr id="474" name="Picture 473">
          <a:extLst>
            <a:ext uri="{FF2B5EF4-FFF2-40B4-BE49-F238E27FC236}">
              <a16:creationId xmlns:a16="http://schemas.microsoft.com/office/drawing/2014/main" id="{78BA778C-34C2-864C-56B1-1523B5237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3630613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10</xdr:row>
      <xdr:rowOff>39688</xdr:rowOff>
    </xdr:from>
    <xdr:to>
      <xdr:col>231</xdr:col>
      <xdr:colOff>460375</xdr:colOff>
      <xdr:row>10</xdr:row>
      <xdr:rowOff>293688</xdr:rowOff>
    </xdr:to>
    <xdr:pic>
      <xdr:nvPicPr>
        <xdr:cNvPr id="477" name="Picture 476">
          <a:extLst>
            <a:ext uri="{FF2B5EF4-FFF2-40B4-BE49-F238E27FC236}">
              <a16:creationId xmlns:a16="http://schemas.microsoft.com/office/drawing/2014/main" id="{2979D54A-6987-4C21-3DF7-8961A67E3B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3630613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10</xdr:row>
      <xdr:rowOff>39688</xdr:rowOff>
    </xdr:from>
    <xdr:to>
      <xdr:col>51</xdr:col>
      <xdr:colOff>460375</xdr:colOff>
      <xdr:row>10</xdr:row>
      <xdr:rowOff>293688</xdr:rowOff>
    </xdr:to>
    <xdr:pic>
      <xdr:nvPicPr>
        <xdr:cNvPr id="480" name="Picture 479">
          <a:extLst>
            <a:ext uri="{FF2B5EF4-FFF2-40B4-BE49-F238E27FC236}">
              <a16:creationId xmlns:a16="http://schemas.microsoft.com/office/drawing/2014/main" id="{41F95CF9-199F-D17A-5C1D-B4541698CD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3630613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11</xdr:row>
      <xdr:rowOff>39688</xdr:rowOff>
    </xdr:from>
    <xdr:to>
      <xdr:col>51</xdr:col>
      <xdr:colOff>460375</xdr:colOff>
      <xdr:row>11</xdr:row>
      <xdr:rowOff>293688</xdr:rowOff>
    </xdr:to>
    <xdr:pic>
      <xdr:nvPicPr>
        <xdr:cNvPr id="483" name="Picture 482">
          <a:extLst>
            <a:ext uri="{FF2B5EF4-FFF2-40B4-BE49-F238E27FC236}">
              <a16:creationId xmlns:a16="http://schemas.microsoft.com/office/drawing/2014/main" id="{356C9EF6-5065-95E7-28F2-8AB015FA8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3963988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11</xdr:row>
      <xdr:rowOff>39688</xdr:rowOff>
    </xdr:from>
    <xdr:to>
      <xdr:col>171</xdr:col>
      <xdr:colOff>460375</xdr:colOff>
      <xdr:row>11</xdr:row>
      <xdr:rowOff>293688</xdr:rowOff>
    </xdr:to>
    <xdr:pic>
      <xdr:nvPicPr>
        <xdr:cNvPr id="486" name="Picture 485">
          <a:extLst>
            <a:ext uri="{FF2B5EF4-FFF2-40B4-BE49-F238E27FC236}">
              <a16:creationId xmlns:a16="http://schemas.microsoft.com/office/drawing/2014/main" id="{AC4AE578-13B2-7B87-0B50-E6054D147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3963988"/>
          <a:ext cx="254000" cy="254000"/>
        </a:xfrm>
        <a:prstGeom prst="rect">
          <a:avLst/>
        </a:prstGeom>
      </xdr:spPr>
    </xdr:pic>
    <xdr:clientData/>
  </xdr:twoCellAnchor>
  <xdr:twoCellAnchor>
    <xdr:from>
      <xdr:col>63</xdr:col>
      <xdr:colOff>230001</xdr:colOff>
      <xdr:row>11</xdr:row>
      <xdr:rowOff>39688</xdr:rowOff>
    </xdr:from>
    <xdr:to>
      <xdr:col>63</xdr:col>
      <xdr:colOff>436745</xdr:colOff>
      <xdr:row>11</xdr:row>
      <xdr:rowOff>293688</xdr:rowOff>
    </xdr:to>
    <xdr:pic>
      <xdr:nvPicPr>
        <xdr:cNvPr id="489" name="Picture 488">
          <a:extLst>
            <a:ext uri="{FF2B5EF4-FFF2-40B4-BE49-F238E27FC236}">
              <a16:creationId xmlns:a16="http://schemas.microsoft.com/office/drawing/2014/main" id="{4A13D962-C719-2D84-EA4D-7F8D8F6AD9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82551" y="3963988"/>
          <a:ext cx="206744" cy="254000"/>
        </a:xfrm>
        <a:prstGeom prst="rect">
          <a:avLst/>
        </a:prstGeom>
      </xdr:spPr>
    </xdr:pic>
    <xdr:clientData/>
  </xdr:twoCellAnchor>
  <xdr:twoCellAnchor>
    <xdr:from>
      <xdr:col>123</xdr:col>
      <xdr:colOff>223131</xdr:colOff>
      <xdr:row>11</xdr:row>
      <xdr:rowOff>39688</xdr:rowOff>
    </xdr:from>
    <xdr:to>
      <xdr:col>123</xdr:col>
      <xdr:colOff>443617</xdr:colOff>
      <xdr:row>11</xdr:row>
      <xdr:rowOff>293688</xdr:rowOff>
    </xdr:to>
    <xdr:pic>
      <xdr:nvPicPr>
        <xdr:cNvPr id="492" name="Picture 491">
          <a:extLst>
            <a:ext uri="{FF2B5EF4-FFF2-40B4-BE49-F238E27FC236}">
              <a16:creationId xmlns:a16="http://schemas.microsoft.com/office/drawing/2014/main" id="{A6712787-6396-CFA7-B8BA-3F9FC4CBF0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013556" y="3963988"/>
          <a:ext cx="220486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11</xdr:row>
      <xdr:rowOff>39688</xdr:rowOff>
    </xdr:from>
    <xdr:to>
      <xdr:col>87</xdr:col>
      <xdr:colOff>460375</xdr:colOff>
      <xdr:row>11</xdr:row>
      <xdr:rowOff>293688</xdr:rowOff>
    </xdr:to>
    <xdr:pic>
      <xdr:nvPicPr>
        <xdr:cNvPr id="495" name="Picture 494">
          <a:extLst>
            <a:ext uri="{FF2B5EF4-FFF2-40B4-BE49-F238E27FC236}">
              <a16:creationId xmlns:a16="http://schemas.microsoft.com/office/drawing/2014/main" id="{7E7839AE-F9B1-A8D8-5E03-89E6992E03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3963988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11</xdr:row>
      <xdr:rowOff>39688</xdr:rowOff>
    </xdr:from>
    <xdr:to>
      <xdr:col>27</xdr:col>
      <xdr:colOff>460375</xdr:colOff>
      <xdr:row>11</xdr:row>
      <xdr:rowOff>293688</xdr:rowOff>
    </xdr:to>
    <xdr:pic>
      <xdr:nvPicPr>
        <xdr:cNvPr id="498" name="Picture 497">
          <a:extLst>
            <a:ext uri="{FF2B5EF4-FFF2-40B4-BE49-F238E27FC236}">
              <a16:creationId xmlns:a16="http://schemas.microsoft.com/office/drawing/2014/main" id="{BBA3F1A3-BDE2-B8E3-A7B0-D3AD194C0C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3963988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11</xdr:row>
      <xdr:rowOff>39688</xdr:rowOff>
    </xdr:from>
    <xdr:to>
      <xdr:col>111</xdr:col>
      <xdr:colOff>460375</xdr:colOff>
      <xdr:row>11</xdr:row>
      <xdr:rowOff>293688</xdr:rowOff>
    </xdr:to>
    <xdr:pic>
      <xdr:nvPicPr>
        <xdr:cNvPr id="501" name="Picture 500">
          <a:extLst>
            <a:ext uri="{FF2B5EF4-FFF2-40B4-BE49-F238E27FC236}">
              <a16:creationId xmlns:a16="http://schemas.microsoft.com/office/drawing/2014/main" id="{7DB64651-CE8E-BF40-6729-43AFC30262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3963988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11</xdr:row>
      <xdr:rowOff>39688</xdr:rowOff>
    </xdr:from>
    <xdr:to>
      <xdr:col>3</xdr:col>
      <xdr:colOff>460375</xdr:colOff>
      <xdr:row>11</xdr:row>
      <xdr:rowOff>293688</xdr:rowOff>
    </xdr:to>
    <xdr:pic>
      <xdr:nvPicPr>
        <xdr:cNvPr id="504" name="Picture 503">
          <a:extLst>
            <a:ext uri="{FF2B5EF4-FFF2-40B4-BE49-F238E27FC236}">
              <a16:creationId xmlns:a16="http://schemas.microsoft.com/office/drawing/2014/main" id="{6127184F-00F7-77FA-F3B9-9795C21692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3963988"/>
          <a:ext cx="2540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11</xdr:row>
      <xdr:rowOff>39688</xdr:rowOff>
    </xdr:from>
    <xdr:to>
      <xdr:col>135</xdr:col>
      <xdr:colOff>460375</xdr:colOff>
      <xdr:row>11</xdr:row>
      <xdr:rowOff>293688</xdr:rowOff>
    </xdr:to>
    <xdr:pic>
      <xdr:nvPicPr>
        <xdr:cNvPr id="507" name="Picture 506">
          <a:extLst>
            <a:ext uri="{FF2B5EF4-FFF2-40B4-BE49-F238E27FC236}">
              <a16:creationId xmlns:a16="http://schemas.microsoft.com/office/drawing/2014/main" id="{BF992410-23BD-EDCE-ADF0-1E4CDE1FFF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3963988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263525</xdr:colOff>
      <xdr:row>11</xdr:row>
      <xdr:rowOff>39688</xdr:rowOff>
    </xdr:from>
    <xdr:to>
      <xdr:col>159</xdr:col>
      <xdr:colOff>403225</xdr:colOff>
      <xdr:row>11</xdr:row>
      <xdr:rowOff>293688</xdr:rowOff>
    </xdr:to>
    <xdr:pic>
      <xdr:nvPicPr>
        <xdr:cNvPr id="510" name="Picture 509">
          <a:extLst>
            <a:ext uri="{FF2B5EF4-FFF2-40B4-BE49-F238E27FC236}">
              <a16:creationId xmlns:a16="http://schemas.microsoft.com/office/drawing/2014/main" id="{DF489F3E-AD6F-D0D1-3E8B-98E8ABBF40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856675" y="3963988"/>
          <a:ext cx="1397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11</xdr:row>
      <xdr:rowOff>39688</xdr:rowOff>
    </xdr:from>
    <xdr:to>
      <xdr:col>147</xdr:col>
      <xdr:colOff>460375</xdr:colOff>
      <xdr:row>11</xdr:row>
      <xdr:rowOff>293688</xdr:rowOff>
    </xdr:to>
    <xdr:pic>
      <xdr:nvPicPr>
        <xdr:cNvPr id="513" name="Picture 512">
          <a:extLst>
            <a:ext uri="{FF2B5EF4-FFF2-40B4-BE49-F238E27FC236}">
              <a16:creationId xmlns:a16="http://schemas.microsoft.com/office/drawing/2014/main" id="{0F75003F-557B-A80A-2894-DCC2667AFD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3963988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11</xdr:row>
      <xdr:rowOff>39688</xdr:rowOff>
    </xdr:from>
    <xdr:to>
      <xdr:col>99</xdr:col>
      <xdr:colOff>460375</xdr:colOff>
      <xdr:row>11</xdr:row>
      <xdr:rowOff>293688</xdr:rowOff>
    </xdr:to>
    <xdr:pic>
      <xdr:nvPicPr>
        <xdr:cNvPr id="516" name="Picture 515">
          <a:extLst>
            <a:ext uri="{FF2B5EF4-FFF2-40B4-BE49-F238E27FC236}">
              <a16:creationId xmlns:a16="http://schemas.microsoft.com/office/drawing/2014/main" id="{C0214D2C-086C-FEC8-8E53-ED24AB1C14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3963988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11</xdr:row>
      <xdr:rowOff>39688</xdr:rowOff>
    </xdr:from>
    <xdr:to>
      <xdr:col>183</xdr:col>
      <xdr:colOff>460375</xdr:colOff>
      <xdr:row>11</xdr:row>
      <xdr:rowOff>293688</xdr:rowOff>
    </xdr:to>
    <xdr:pic>
      <xdr:nvPicPr>
        <xdr:cNvPr id="519" name="Picture 518">
          <a:extLst>
            <a:ext uri="{FF2B5EF4-FFF2-40B4-BE49-F238E27FC236}">
              <a16:creationId xmlns:a16="http://schemas.microsoft.com/office/drawing/2014/main" id="{6772C57A-05B8-695D-0ACE-C05A5B2F85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3963988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11</xdr:row>
      <xdr:rowOff>39688</xdr:rowOff>
    </xdr:from>
    <xdr:to>
      <xdr:col>75</xdr:col>
      <xdr:colOff>460375</xdr:colOff>
      <xdr:row>11</xdr:row>
      <xdr:rowOff>293688</xdr:rowOff>
    </xdr:to>
    <xdr:pic>
      <xdr:nvPicPr>
        <xdr:cNvPr id="522" name="Picture 521">
          <a:extLst>
            <a:ext uri="{FF2B5EF4-FFF2-40B4-BE49-F238E27FC236}">
              <a16:creationId xmlns:a16="http://schemas.microsoft.com/office/drawing/2014/main" id="{E9FD47C6-1382-E901-B968-008CD85B3C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3963988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11</xdr:row>
      <xdr:rowOff>39688</xdr:rowOff>
    </xdr:from>
    <xdr:to>
      <xdr:col>195</xdr:col>
      <xdr:colOff>460375</xdr:colOff>
      <xdr:row>11</xdr:row>
      <xdr:rowOff>293688</xdr:rowOff>
    </xdr:to>
    <xdr:pic>
      <xdr:nvPicPr>
        <xdr:cNvPr id="525" name="Picture 524">
          <a:extLst>
            <a:ext uri="{FF2B5EF4-FFF2-40B4-BE49-F238E27FC236}">
              <a16:creationId xmlns:a16="http://schemas.microsoft.com/office/drawing/2014/main" id="{4344C906-02BE-B587-C3B0-64BC93FC1C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396398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11</xdr:row>
      <xdr:rowOff>39688</xdr:rowOff>
    </xdr:from>
    <xdr:to>
      <xdr:col>15</xdr:col>
      <xdr:colOff>460375</xdr:colOff>
      <xdr:row>11</xdr:row>
      <xdr:rowOff>293688</xdr:rowOff>
    </xdr:to>
    <xdr:pic>
      <xdr:nvPicPr>
        <xdr:cNvPr id="528" name="Picture 527">
          <a:extLst>
            <a:ext uri="{FF2B5EF4-FFF2-40B4-BE49-F238E27FC236}">
              <a16:creationId xmlns:a16="http://schemas.microsoft.com/office/drawing/2014/main" id="{02068EBF-ED4A-A19B-AA64-25BD13BF3C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3963988"/>
          <a:ext cx="254000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11</xdr:row>
      <xdr:rowOff>39688</xdr:rowOff>
    </xdr:from>
    <xdr:to>
      <xdr:col>207</xdr:col>
      <xdr:colOff>460375</xdr:colOff>
      <xdr:row>11</xdr:row>
      <xdr:rowOff>293688</xdr:rowOff>
    </xdr:to>
    <xdr:pic>
      <xdr:nvPicPr>
        <xdr:cNvPr id="531" name="Picture 530">
          <a:extLst>
            <a:ext uri="{FF2B5EF4-FFF2-40B4-BE49-F238E27FC236}">
              <a16:creationId xmlns:a16="http://schemas.microsoft.com/office/drawing/2014/main" id="{4DF499CF-71E0-A869-9708-DF6C46170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3963988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181211</xdr:colOff>
      <xdr:row>11</xdr:row>
      <xdr:rowOff>39688</xdr:rowOff>
    </xdr:from>
    <xdr:to>
      <xdr:col>231</xdr:col>
      <xdr:colOff>485543</xdr:colOff>
      <xdr:row>11</xdr:row>
      <xdr:rowOff>293688</xdr:rowOff>
    </xdr:to>
    <xdr:pic>
      <xdr:nvPicPr>
        <xdr:cNvPr id="534" name="Picture 533">
          <a:extLst>
            <a:ext uri="{FF2B5EF4-FFF2-40B4-BE49-F238E27FC236}">
              <a16:creationId xmlns:a16="http://schemas.microsoft.com/office/drawing/2014/main" id="{E31ECF5E-8384-DB74-7B38-8CC57EFD7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379811" y="3963988"/>
          <a:ext cx="304332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11</xdr:row>
      <xdr:rowOff>39688</xdr:rowOff>
    </xdr:from>
    <xdr:to>
      <xdr:col>219</xdr:col>
      <xdr:colOff>460375</xdr:colOff>
      <xdr:row>11</xdr:row>
      <xdr:rowOff>293688</xdr:rowOff>
    </xdr:to>
    <xdr:pic>
      <xdr:nvPicPr>
        <xdr:cNvPr id="537" name="Picture 536">
          <a:extLst>
            <a:ext uri="{FF2B5EF4-FFF2-40B4-BE49-F238E27FC236}">
              <a16:creationId xmlns:a16="http://schemas.microsoft.com/office/drawing/2014/main" id="{A8D61929-B187-AA67-39B0-0A5A1A3238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3963988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11</xdr:row>
      <xdr:rowOff>39688</xdr:rowOff>
    </xdr:from>
    <xdr:to>
      <xdr:col>39</xdr:col>
      <xdr:colOff>460375</xdr:colOff>
      <xdr:row>11</xdr:row>
      <xdr:rowOff>293688</xdr:rowOff>
    </xdr:to>
    <xdr:pic>
      <xdr:nvPicPr>
        <xdr:cNvPr id="540" name="Picture 539">
          <a:extLst>
            <a:ext uri="{FF2B5EF4-FFF2-40B4-BE49-F238E27FC236}">
              <a16:creationId xmlns:a16="http://schemas.microsoft.com/office/drawing/2014/main" id="{390DC426-C36F-F092-1C5A-2689C1C67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3963988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12</xdr:row>
      <xdr:rowOff>39688</xdr:rowOff>
    </xdr:from>
    <xdr:to>
      <xdr:col>3</xdr:col>
      <xdr:colOff>460375</xdr:colOff>
      <xdr:row>12</xdr:row>
      <xdr:rowOff>293688</xdr:rowOff>
    </xdr:to>
    <xdr:pic>
      <xdr:nvPicPr>
        <xdr:cNvPr id="543" name="Picture 542">
          <a:extLst>
            <a:ext uri="{FF2B5EF4-FFF2-40B4-BE49-F238E27FC236}">
              <a16:creationId xmlns:a16="http://schemas.microsoft.com/office/drawing/2014/main" id="{ECF1E200-9385-CB32-FF4A-B2EB9A6BE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4297363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12</xdr:row>
      <xdr:rowOff>39688</xdr:rowOff>
    </xdr:from>
    <xdr:to>
      <xdr:col>87</xdr:col>
      <xdr:colOff>460375</xdr:colOff>
      <xdr:row>12</xdr:row>
      <xdr:rowOff>293688</xdr:rowOff>
    </xdr:to>
    <xdr:pic>
      <xdr:nvPicPr>
        <xdr:cNvPr id="546" name="Picture 545">
          <a:extLst>
            <a:ext uri="{FF2B5EF4-FFF2-40B4-BE49-F238E27FC236}">
              <a16:creationId xmlns:a16="http://schemas.microsoft.com/office/drawing/2014/main" id="{2FCC0CCD-2A2E-3533-8F0D-17C96BD2F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4297363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12</xdr:row>
      <xdr:rowOff>39688</xdr:rowOff>
    </xdr:from>
    <xdr:to>
      <xdr:col>15</xdr:col>
      <xdr:colOff>460375</xdr:colOff>
      <xdr:row>12</xdr:row>
      <xdr:rowOff>293688</xdr:rowOff>
    </xdr:to>
    <xdr:pic>
      <xdr:nvPicPr>
        <xdr:cNvPr id="549" name="Picture 548">
          <a:extLst>
            <a:ext uri="{FF2B5EF4-FFF2-40B4-BE49-F238E27FC236}">
              <a16:creationId xmlns:a16="http://schemas.microsoft.com/office/drawing/2014/main" id="{2326BBE0-2351-900E-ED67-47B4E547A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4297363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12</xdr:row>
      <xdr:rowOff>39688</xdr:rowOff>
    </xdr:from>
    <xdr:to>
      <xdr:col>147</xdr:col>
      <xdr:colOff>460375</xdr:colOff>
      <xdr:row>12</xdr:row>
      <xdr:rowOff>293688</xdr:rowOff>
    </xdr:to>
    <xdr:pic>
      <xdr:nvPicPr>
        <xdr:cNvPr id="552" name="Picture 551">
          <a:extLst>
            <a:ext uri="{FF2B5EF4-FFF2-40B4-BE49-F238E27FC236}">
              <a16:creationId xmlns:a16="http://schemas.microsoft.com/office/drawing/2014/main" id="{1374DCED-3273-4647-6245-D096576815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4297363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12</xdr:row>
      <xdr:rowOff>39688</xdr:rowOff>
    </xdr:from>
    <xdr:to>
      <xdr:col>27</xdr:col>
      <xdr:colOff>460375</xdr:colOff>
      <xdr:row>12</xdr:row>
      <xdr:rowOff>293688</xdr:rowOff>
    </xdr:to>
    <xdr:pic>
      <xdr:nvPicPr>
        <xdr:cNvPr id="555" name="Picture 554">
          <a:extLst>
            <a:ext uri="{FF2B5EF4-FFF2-40B4-BE49-F238E27FC236}">
              <a16:creationId xmlns:a16="http://schemas.microsoft.com/office/drawing/2014/main" id="{752DC2A5-7E0E-A25F-A963-0D3AF9D386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4297363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12</xdr:row>
      <xdr:rowOff>39688</xdr:rowOff>
    </xdr:from>
    <xdr:to>
      <xdr:col>183</xdr:col>
      <xdr:colOff>460375</xdr:colOff>
      <xdr:row>12</xdr:row>
      <xdr:rowOff>293688</xdr:rowOff>
    </xdr:to>
    <xdr:pic>
      <xdr:nvPicPr>
        <xdr:cNvPr id="558" name="Picture 557">
          <a:extLst>
            <a:ext uri="{FF2B5EF4-FFF2-40B4-BE49-F238E27FC236}">
              <a16:creationId xmlns:a16="http://schemas.microsoft.com/office/drawing/2014/main" id="{35A7969F-0DF1-00B6-12CE-9AEEF9DACC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4297363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263525</xdr:colOff>
      <xdr:row>12</xdr:row>
      <xdr:rowOff>39688</xdr:rowOff>
    </xdr:from>
    <xdr:to>
      <xdr:col>39</xdr:col>
      <xdr:colOff>403225</xdr:colOff>
      <xdr:row>12</xdr:row>
      <xdr:rowOff>293688</xdr:rowOff>
    </xdr:to>
    <xdr:pic>
      <xdr:nvPicPr>
        <xdr:cNvPr id="561" name="Picture 560">
          <a:extLst>
            <a:ext uri="{FF2B5EF4-FFF2-40B4-BE49-F238E27FC236}">
              <a16:creationId xmlns:a16="http://schemas.microsoft.com/office/drawing/2014/main" id="{B6024CF6-D278-04AF-5775-43833224D0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61875" y="4297363"/>
          <a:ext cx="1397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12</xdr:row>
      <xdr:rowOff>39688</xdr:rowOff>
    </xdr:from>
    <xdr:to>
      <xdr:col>135</xdr:col>
      <xdr:colOff>460375</xdr:colOff>
      <xdr:row>12</xdr:row>
      <xdr:rowOff>293688</xdr:rowOff>
    </xdr:to>
    <xdr:pic>
      <xdr:nvPicPr>
        <xdr:cNvPr id="564" name="Picture 563">
          <a:extLst>
            <a:ext uri="{FF2B5EF4-FFF2-40B4-BE49-F238E27FC236}">
              <a16:creationId xmlns:a16="http://schemas.microsoft.com/office/drawing/2014/main" id="{39FCA178-A824-2093-5ACB-6061ADA55B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4297363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181208</xdr:colOff>
      <xdr:row>12</xdr:row>
      <xdr:rowOff>39688</xdr:rowOff>
    </xdr:from>
    <xdr:to>
      <xdr:col>75</xdr:col>
      <xdr:colOff>485540</xdr:colOff>
      <xdr:row>12</xdr:row>
      <xdr:rowOff>293688</xdr:rowOff>
    </xdr:to>
    <xdr:pic>
      <xdr:nvPicPr>
        <xdr:cNvPr id="567" name="Picture 566">
          <a:extLst>
            <a:ext uri="{FF2B5EF4-FFF2-40B4-BE49-F238E27FC236}">
              <a16:creationId xmlns:a16="http://schemas.microsoft.com/office/drawing/2014/main" id="{4078800E-8A34-8A55-702C-ABC015CDAF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01333" y="4297363"/>
          <a:ext cx="304332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12</xdr:row>
      <xdr:rowOff>39688</xdr:rowOff>
    </xdr:from>
    <xdr:to>
      <xdr:col>207</xdr:col>
      <xdr:colOff>460375</xdr:colOff>
      <xdr:row>12</xdr:row>
      <xdr:rowOff>293688</xdr:rowOff>
    </xdr:to>
    <xdr:pic>
      <xdr:nvPicPr>
        <xdr:cNvPr id="570" name="Picture 569">
          <a:extLst>
            <a:ext uri="{FF2B5EF4-FFF2-40B4-BE49-F238E27FC236}">
              <a16:creationId xmlns:a16="http://schemas.microsoft.com/office/drawing/2014/main" id="{18F0171C-5A13-23D6-3027-E0FD5EC8F3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4297363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12</xdr:row>
      <xdr:rowOff>39688</xdr:rowOff>
    </xdr:from>
    <xdr:to>
      <xdr:col>99</xdr:col>
      <xdr:colOff>460375</xdr:colOff>
      <xdr:row>12</xdr:row>
      <xdr:rowOff>293688</xdr:rowOff>
    </xdr:to>
    <xdr:pic>
      <xdr:nvPicPr>
        <xdr:cNvPr id="573" name="Picture 572">
          <a:extLst>
            <a:ext uri="{FF2B5EF4-FFF2-40B4-BE49-F238E27FC236}">
              <a16:creationId xmlns:a16="http://schemas.microsoft.com/office/drawing/2014/main" id="{375668A4-E43D-63F0-9859-DC73E938D2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4297363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12</xdr:row>
      <xdr:rowOff>39688</xdr:rowOff>
    </xdr:from>
    <xdr:to>
      <xdr:col>195</xdr:col>
      <xdr:colOff>460375</xdr:colOff>
      <xdr:row>12</xdr:row>
      <xdr:rowOff>293688</xdr:rowOff>
    </xdr:to>
    <xdr:pic>
      <xdr:nvPicPr>
        <xdr:cNvPr id="576" name="Picture 575">
          <a:extLst>
            <a:ext uri="{FF2B5EF4-FFF2-40B4-BE49-F238E27FC236}">
              <a16:creationId xmlns:a16="http://schemas.microsoft.com/office/drawing/2014/main" id="{C93E1B07-C04B-71AA-D6C6-DBE7C77FE9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4297363"/>
          <a:ext cx="254000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12</xdr:row>
      <xdr:rowOff>39688</xdr:rowOff>
    </xdr:from>
    <xdr:to>
      <xdr:col>123</xdr:col>
      <xdr:colOff>460375</xdr:colOff>
      <xdr:row>12</xdr:row>
      <xdr:rowOff>293688</xdr:rowOff>
    </xdr:to>
    <xdr:pic>
      <xdr:nvPicPr>
        <xdr:cNvPr id="579" name="Picture 578">
          <a:extLst>
            <a:ext uri="{FF2B5EF4-FFF2-40B4-BE49-F238E27FC236}">
              <a16:creationId xmlns:a16="http://schemas.microsoft.com/office/drawing/2014/main" id="{0C34AF56-7015-020E-9F44-21D5A7498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4297363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230001</xdr:colOff>
      <xdr:row>12</xdr:row>
      <xdr:rowOff>39688</xdr:rowOff>
    </xdr:from>
    <xdr:to>
      <xdr:col>219</xdr:col>
      <xdr:colOff>436745</xdr:colOff>
      <xdr:row>12</xdr:row>
      <xdr:rowOff>293688</xdr:rowOff>
    </xdr:to>
    <xdr:pic>
      <xdr:nvPicPr>
        <xdr:cNvPr id="582" name="Picture 581">
          <a:extLst>
            <a:ext uri="{FF2B5EF4-FFF2-40B4-BE49-F238E27FC236}">
              <a16:creationId xmlns:a16="http://schemas.microsoft.com/office/drawing/2014/main" id="{8160F8FF-F232-5D78-A2CA-6FFDF8F95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61026" y="4297363"/>
          <a:ext cx="206744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12</xdr:row>
      <xdr:rowOff>39688</xdr:rowOff>
    </xdr:from>
    <xdr:to>
      <xdr:col>159</xdr:col>
      <xdr:colOff>460375</xdr:colOff>
      <xdr:row>12</xdr:row>
      <xdr:rowOff>293688</xdr:rowOff>
    </xdr:to>
    <xdr:pic>
      <xdr:nvPicPr>
        <xdr:cNvPr id="585" name="Picture 584">
          <a:extLst>
            <a:ext uri="{FF2B5EF4-FFF2-40B4-BE49-F238E27FC236}">
              <a16:creationId xmlns:a16="http://schemas.microsoft.com/office/drawing/2014/main" id="{C403B9D2-368A-B03A-D0D9-1C1015E2B6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4297363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12</xdr:row>
      <xdr:rowOff>39688</xdr:rowOff>
    </xdr:from>
    <xdr:to>
      <xdr:col>51</xdr:col>
      <xdr:colOff>460375</xdr:colOff>
      <xdr:row>12</xdr:row>
      <xdr:rowOff>293688</xdr:rowOff>
    </xdr:to>
    <xdr:pic>
      <xdr:nvPicPr>
        <xdr:cNvPr id="588" name="Picture 587">
          <a:extLst>
            <a:ext uri="{FF2B5EF4-FFF2-40B4-BE49-F238E27FC236}">
              <a16:creationId xmlns:a16="http://schemas.microsoft.com/office/drawing/2014/main" id="{B6C0872D-8C45-7EB5-1C84-36765C2780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4297363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12</xdr:row>
      <xdr:rowOff>39688</xdr:rowOff>
    </xdr:from>
    <xdr:to>
      <xdr:col>171</xdr:col>
      <xdr:colOff>460375</xdr:colOff>
      <xdr:row>12</xdr:row>
      <xdr:rowOff>293688</xdr:rowOff>
    </xdr:to>
    <xdr:pic>
      <xdr:nvPicPr>
        <xdr:cNvPr id="591" name="Picture 590">
          <a:extLst>
            <a:ext uri="{FF2B5EF4-FFF2-40B4-BE49-F238E27FC236}">
              <a16:creationId xmlns:a16="http://schemas.microsoft.com/office/drawing/2014/main" id="{07C41861-52C1-42A3-0381-4121C70478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4297363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12</xdr:row>
      <xdr:rowOff>39688</xdr:rowOff>
    </xdr:from>
    <xdr:to>
      <xdr:col>111</xdr:col>
      <xdr:colOff>460375</xdr:colOff>
      <xdr:row>12</xdr:row>
      <xdr:rowOff>293688</xdr:rowOff>
    </xdr:to>
    <xdr:pic>
      <xdr:nvPicPr>
        <xdr:cNvPr id="594" name="Picture 593">
          <a:extLst>
            <a:ext uri="{FF2B5EF4-FFF2-40B4-BE49-F238E27FC236}">
              <a16:creationId xmlns:a16="http://schemas.microsoft.com/office/drawing/2014/main" id="{BE21A5FE-9284-751C-66F5-37764ADD31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4297363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223131</xdr:colOff>
      <xdr:row>12</xdr:row>
      <xdr:rowOff>39688</xdr:rowOff>
    </xdr:from>
    <xdr:to>
      <xdr:col>231</xdr:col>
      <xdr:colOff>443617</xdr:colOff>
      <xdr:row>12</xdr:row>
      <xdr:rowOff>293688</xdr:rowOff>
    </xdr:to>
    <xdr:pic>
      <xdr:nvPicPr>
        <xdr:cNvPr id="597" name="Picture 596">
          <a:extLst>
            <a:ext uri="{FF2B5EF4-FFF2-40B4-BE49-F238E27FC236}">
              <a16:creationId xmlns:a16="http://schemas.microsoft.com/office/drawing/2014/main" id="{626AF76B-2E55-F40D-3C3E-C61D11A6DA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21731" y="4297363"/>
          <a:ext cx="220486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12</xdr:row>
      <xdr:rowOff>39688</xdr:rowOff>
    </xdr:from>
    <xdr:to>
      <xdr:col>63</xdr:col>
      <xdr:colOff>460375</xdr:colOff>
      <xdr:row>12</xdr:row>
      <xdr:rowOff>293688</xdr:rowOff>
    </xdr:to>
    <xdr:pic>
      <xdr:nvPicPr>
        <xdr:cNvPr id="600" name="Picture 599">
          <a:extLst>
            <a:ext uri="{FF2B5EF4-FFF2-40B4-BE49-F238E27FC236}">
              <a16:creationId xmlns:a16="http://schemas.microsoft.com/office/drawing/2014/main" id="{7CDFF261-136A-4231-CAD8-0F8BC57268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4297363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230001</xdr:colOff>
      <xdr:row>14</xdr:row>
      <xdr:rowOff>39688</xdr:rowOff>
    </xdr:from>
    <xdr:to>
      <xdr:col>51</xdr:col>
      <xdr:colOff>436745</xdr:colOff>
      <xdr:row>14</xdr:row>
      <xdr:rowOff>293688</xdr:rowOff>
    </xdr:to>
    <xdr:pic>
      <xdr:nvPicPr>
        <xdr:cNvPr id="603" name="Picture 602">
          <a:extLst>
            <a:ext uri="{FF2B5EF4-FFF2-40B4-BE49-F238E27FC236}">
              <a16:creationId xmlns:a16="http://schemas.microsoft.com/office/drawing/2014/main" id="{46D77AEE-52CA-F045-2DAD-0D794FF143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405451" y="4964113"/>
          <a:ext cx="206744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14</xdr:row>
      <xdr:rowOff>39688</xdr:rowOff>
    </xdr:from>
    <xdr:to>
      <xdr:col>123</xdr:col>
      <xdr:colOff>460375</xdr:colOff>
      <xdr:row>14</xdr:row>
      <xdr:rowOff>293688</xdr:rowOff>
    </xdr:to>
    <xdr:pic>
      <xdr:nvPicPr>
        <xdr:cNvPr id="606" name="Picture 605">
          <a:extLst>
            <a:ext uri="{FF2B5EF4-FFF2-40B4-BE49-F238E27FC236}">
              <a16:creationId xmlns:a16="http://schemas.microsoft.com/office/drawing/2014/main" id="{ED271C64-6A86-02EB-8A4E-5C7F3E616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4964113"/>
          <a:ext cx="254000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14</xdr:row>
      <xdr:rowOff>39688</xdr:rowOff>
    </xdr:from>
    <xdr:to>
      <xdr:col>63</xdr:col>
      <xdr:colOff>460375</xdr:colOff>
      <xdr:row>14</xdr:row>
      <xdr:rowOff>293688</xdr:rowOff>
    </xdr:to>
    <xdr:pic>
      <xdr:nvPicPr>
        <xdr:cNvPr id="609" name="Picture 608">
          <a:extLst>
            <a:ext uri="{FF2B5EF4-FFF2-40B4-BE49-F238E27FC236}">
              <a16:creationId xmlns:a16="http://schemas.microsoft.com/office/drawing/2014/main" id="{7C0307B7-ABA7-A806-0741-D12DE9D39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496411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223132</xdr:colOff>
      <xdr:row>14</xdr:row>
      <xdr:rowOff>39688</xdr:rowOff>
    </xdr:from>
    <xdr:to>
      <xdr:col>3</xdr:col>
      <xdr:colOff>443618</xdr:colOff>
      <xdr:row>14</xdr:row>
      <xdr:rowOff>293688</xdr:rowOff>
    </xdr:to>
    <xdr:pic>
      <xdr:nvPicPr>
        <xdr:cNvPr id="612" name="Picture 611">
          <a:extLst>
            <a:ext uri="{FF2B5EF4-FFF2-40B4-BE49-F238E27FC236}">
              <a16:creationId xmlns:a16="http://schemas.microsoft.com/office/drawing/2014/main" id="{AE0A4CFC-2BBE-7BB2-B5C8-0E7A64D71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56782" y="4964113"/>
          <a:ext cx="220486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14</xdr:row>
      <xdr:rowOff>39688</xdr:rowOff>
    </xdr:from>
    <xdr:to>
      <xdr:col>87</xdr:col>
      <xdr:colOff>460375</xdr:colOff>
      <xdr:row>14</xdr:row>
      <xdr:rowOff>293688</xdr:rowOff>
    </xdr:to>
    <xdr:pic>
      <xdr:nvPicPr>
        <xdr:cNvPr id="615" name="Picture 614">
          <a:extLst>
            <a:ext uri="{FF2B5EF4-FFF2-40B4-BE49-F238E27FC236}">
              <a16:creationId xmlns:a16="http://schemas.microsoft.com/office/drawing/2014/main" id="{72B53E6B-FEA2-F1C2-F81A-04B8F856EB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4964113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14</xdr:row>
      <xdr:rowOff>39688</xdr:rowOff>
    </xdr:from>
    <xdr:to>
      <xdr:col>39</xdr:col>
      <xdr:colOff>460375</xdr:colOff>
      <xdr:row>14</xdr:row>
      <xdr:rowOff>293688</xdr:rowOff>
    </xdr:to>
    <xdr:pic>
      <xdr:nvPicPr>
        <xdr:cNvPr id="618" name="Picture 617">
          <a:extLst>
            <a:ext uri="{FF2B5EF4-FFF2-40B4-BE49-F238E27FC236}">
              <a16:creationId xmlns:a16="http://schemas.microsoft.com/office/drawing/2014/main" id="{0D1DE654-9194-6E30-6F45-25D6B820A1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4964113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14</xdr:row>
      <xdr:rowOff>39688</xdr:rowOff>
    </xdr:from>
    <xdr:to>
      <xdr:col>111</xdr:col>
      <xdr:colOff>460375</xdr:colOff>
      <xdr:row>14</xdr:row>
      <xdr:rowOff>293688</xdr:rowOff>
    </xdr:to>
    <xdr:pic>
      <xdr:nvPicPr>
        <xdr:cNvPr id="621" name="Picture 620">
          <a:extLst>
            <a:ext uri="{FF2B5EF4-FFF2-40B4-BE49-F238E27FC236}">
              <a16:creationId xmlns:a16="http://schemas.microsoft.com/office/drawing/2014/main" id="{C8E8FDBA-FF0E-3264-CB32-9201C8F870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4964113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14</xdr:row>
      <xdr:rowOff>39688</xdr:rowOff>
    </xdr:from>
    <xdr:to>
      <xdr:col>231</xdr:col>
      <xdr:colOff>460375</xdr:colOff>
      <xdr:row>14</xdr:row>
      <xdr:rowOff>293688</xdr:rowOff>
    </xdr:to>
    <xdr:pic>
      <xdr:nvPicPr>
        <xdr:cNvPr id="624" name="Picture 623">
          <a:extLst>
            <a:ext uri="{FF2B5EF4-FFF2-40B4-BE49-F238E27FC236}">
              <a16:creationId xmlns:a16="http://schemas.microsoft.com/office/drawing/2014/main" id="{0F127D72-B99C-592C-C192-400E9BFC52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4964113"/>
          <a:ext cx="2540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14</xdr:row>
      <xdr:rowOff>39688</xdr:rowOff>
    </xdr:from>
    <xdr:to>
      <xdr:col>135</xdr:col>
      <xdr:colOff>460375</xdr:colOff>
      <xdr:row>14</xdr:row>
      <xdr:rowOff>293688</xdr:rowOff>
    </xdr:to>
    <xdr:pic>
      <xdr:nvPicPr>
        <xdr:cNvPr id="627" name="Picture 626">
          <a:extLst>
            <a:ext uri="{FF2B5EF4-FFF2-40B4-BE49-F238E27FC236}">
              <a16:creationId xmlns:a16="http://schemas.microsoft.com/office/drawing/2014/main" id="{9A5B62F0-131E-EACB-18F3-64CF6140AD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4964113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263525</xdr:colOff>
      <xdr:row>14</xdr:row>
      <xdr:rowOff>39688</xdr:rowOff>
    </xdr:from>
    <xdr:to>
      <xdr:col>15</xdr:col>
      <xdr:colOff>403225</xdr:colOff>
      <xdr:row>14</xdr:row>
      <xdr:rowOff>293688</xdr:rowOff>
    </xdr:to>
    <xdr:pic>
      <xdr:nvPicPr>
        <xdr:cNvPr id="630" name="Picture 629">
          <a:extLst>
            <a:ext uri="{FF2B5EF4-FFF2-40B4-BE49-F238E27FC236}">
              <a16:creationId xmlns:a16="http://schemas.microsoft.com/office/drawing/2014/main" id="{4C5B0E8F-6DC5-AE09-00CF-79F22AFC70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26725" y="4964113"/>
          <a:ext cx="1397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14</xdr:row>
      <xdr:rowOff>39688</xdr:rowOff>
    </xdr:from>
    <xdr:to>
      <xdr:col>147</xdr:col>
      <xdr:colOff>460375</xdr:colOff>
      <xdr:row>14</xdr:row>
      <xdr:rowOff>293688</xdr:rowOff>
    </xdr:to>
    <xdr:pic>
      <xdr:nvPicPr>
        <xdr:cNvPr id="633" name="Picture 632">
          <a:extLst>
            <a:ext uri="{FF2B5EF4-FFF2-40B4-BE49-F238E27FC236}">
              <a16:creationId xmlns:a16="http://schemas.microsoft.com/office/drawing/2014/main" id="{301E798E-043A-8131-3395-396A91F700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4964113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14</xdr:row>
      <xdr:rowOff>39688</xdr:rowOff>
    </xdr:from>
    <xdr:to>
      <xdr:col>27</xdr:col>
      <xdr:colOff>460375</xdr:colOff>
      <xdr:row>14</xdr:row>
      <xdr:rowOff>293688</xdr:rowOff>
    </xdr:to>
    <xdr:pic>
      <xdr:nvPicPr>
        <xdr:cNvPr id="636" name="Picture 635">
          <a:extLst>
            <a:ext uri="{FF2B5EF4-FFF2-40B4-BE49-F238E27FC236}">
              <a16:creationId xmlns:a16="http://schemas.microsoft.com/office/drawing/2014/main" id="{E63D6384-820C-2B3B-D812-963BE685AA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4964113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14</xdr:row>
      <xdr:rowOff>39688</xdr:rowOff>
    </xdr:from>
    <xdr:to>
      <xdr:col>183</xdr:col>
      <xdr:colOff>460375</xdr:colOff>
      <xdr:row>14</xdr:row>
      <xdr:rowOff>293688</xdr:rowOff>
    </xdr:to>
    <xdr:pic>
      <xdr:nvPicPr>
        <xdr:cNvPr id="639" name="Picture 638">
          <a:extLst>
            <a:ext uri="{FF2B5EF4-FFF2-40B4-BE49-F238E27FC236}">
              <a16:creationId xmlns:a16="http://schemas.microsoft.com/office/drawing/2014/main" id="{C1BC52CA-1D81-4539-941C-BEEFDD6897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4964113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14</xdr:row>
      <xdr:rowOff>39688</xdr:rowOff>
    </xdr:from>
    <xdr:to>
      <xdr:col>159</xdr:col>
      <xdr:colOff>460375</xdr:colOff>
      <xdr:row>14</xdr:row>
      <xdr:rowOff>293688</xdr:rowOff>
    </xdr:to>
    <xdr:pic>
      <xdr:nvPicPr>
        <xdr:cNvPr id="642" name="Picture 641">
          <a:extLst>
            <a:ext uri="{FF2B5EF4-FFF2-40B4-BE49-F238E27FC236}">
              <a16:creationId xmlns:a16="http://schemas.microsoft.com/office/drawing/2014/main" id="{1F55FD46-6803-EC1C-D991-C838534431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4964113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14</xdr:row>
      <xdr:rowOff>39688</xdr:rowOff>
    </xdr:from>
    <xdr:to>
      <xdr:col>195</xdr:col>
      <xdr:colOff>460375</xdr:colOff>
      <xdr:row>14</xdr:row>
      <xdr:rowOff>293688</xdr:rowOff>
    </xdr:to>
    <xdr:pic>
      <xdr:nvPicPr>
        <xdr:cNvPr id="645" name="Picture 644">
          <a:extLst>
            <a:ext uri="{FF2B5EF4-FFF2-40B4-BE49-F238E27FC236}">
              <a16:creationId xmlns:a16="http://schemas.microsoft.com/office/drawing/2014/main" id="{829F6674-E9E0-22D8-1F5A-D6354EDC61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4964113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14</xdr:row>
      <xdr:rowOff>39688</xdr:rowOff>
    </xdr:from>
    <xdr:to>
      <xdr:col>75</xdr:col>
      <xdr:colOff>460375</xdr:colOff>
      <xdr:row>14</xdr:row>
      <xdr:rowOff>293688</xdr:rowOff>
    </xdr:to>
    <xdr:pic>
      <xdr:nvPicPr>
        <xdr:cNvPr id="648" name="Picture 647">
          <a:extLst>
            <a:ext uri="{FF2B5EF4-FFF2-40B4-BE49-F238E27FC236}">
              <a16:creationId xmlns:a16="http://schemas.microsoft.com/office/drawing/2014/main" id="{438A8931-8130-CF13-5D0F-61E406C72A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4964113"/>
          <a:ext cx="254000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14</xdr:row>
      <xdr:rowOff>39688</xdr:rowOff>
    </xdr:from>
    <xdr:to>
      <xdr:col>207</xdr:col>
      <xdr:colOff>460375</xdr:colOff>
      <xdr:row>14</xdr:row>
      <xdr:rowOff>293688</xdr:rowOff>
    </xdr:to>
    <xdr:pic>
      <xdr:nvPicPr>
        <xdr:cNvPr id="651" name="Picture 650">
          <a:extLst>
            <a:ext uri="{FF2B5EF4-FFF2-40B4-BE49-F238E27FC236}">
              <a16:creationId xmlns:a16="http://schemas.microsoft.com/office/drawing/2014/main" id="{2F075A55-A31D-B6E0-8356-F5576E8076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4964113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181211</xdr:colOff>
      <xdr:row>14</xdr:row>
      <xdr:rowOff>39688</xdr:rowOff>
    </xdr:from>
    <xdr:to>
      <xdr:col>99</xdr:col>
      <xdr:colOff>485543</xdr:colOff>
      <xdr:row>14</xdr:row>
      <xdr:rowOff>293688</xdr:rowOff>
    </xdr:to>
    <xdr:pic>
      <xdr:nvPicPr>
        <xdr:cNvPr id="654" name="Picture 653">
          <a:extLst>
            <a:ext uri="{FF2B5EF4-FFF2-40B4-BE49-F238E27FC236}">
              <a16:creationId xmlns:a16="http://schemas.microsoft.com/office/drawing/2014/main" id="{CEAE29EF-E580-B87B-7B7F-86473AF78F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36486" y="4964113"/>
          <a:ext cx="304332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14</xdr:row>
      <xdr:rowOff>39688</xdr:rowOff>
    </xdr:from>
    <xdr:to>
      <xdr:col>219</xdr:col>
      <xdr:colOff>460375</xdr:colOff>
      <xdr:row>14</xdr:row>
      <xdr:rowOff>293688</xdr:rowOff>
    </xdr:to>
    <xdr:pic>
      <xdr:nvPicPr>
        <xdr:cNvPr id="657" name="Picture 656">
          <a:extLst>
            <a:ext uri="{FF2B5EF4-FFF2-40B4-BE49-F238E27FC236}">
              <a16:creationId xmlns:a16="http://schemas.microsoft.com/office/drawing/2014/main" id="{F064B394-57C9-F271-97F5-BDA283829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4964113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14</xdr:row>
      <xdr:rowOff>39688</xdr:rowOff>
    </xdr:from>
    <xdr:to>
      <xdr:col>171</xdr:col>
      <xdr:colOff>460375</xdr:colOff>
      <xdr:row>14</xdr:row>
      <xdr:rowOff>293688</xdr:rowOff>
    </xdr:to>
    <xdr:pic>
      <xdr:nvPicPr>
        <xdr:cNvPr id="660" name="Picture 659">
          <a:extLst>
            <a:ext uri="{FF2B5EF4-FFF2-40B4-BE49-F238E27FC236}">
              <a16:creationId xmlns:a16="http://schemas.microsoft.com/office/drawing/2014/main" id="{C058343B-A8B7-0BBC-25AE-1B2DAF3431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4964113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15</xdr:row>
      <xdr:rowOff>39688</xdr:rowOff>
    </xdr:from>
    <xdr:to>
      <xdr:col>15</xdr:col>
      <xdr:colOff>460375</xdr:colOff>
      <xdr:row>15</xdr:row>
      <xdr:rowOff>293688</xdr:rowOff>
    </xdr:to>
    <xdr:pic>
      <xdr:nvPicPr>
        <xdr:cNvPr id="663" name="Picture 662">
          <a:extLst>
            <a:ext uri="{FF2B5EF4-FFF2-40B4-BE49-F238E27FC236}">
              <a16:creationId xmlns:a16="http://schemas.microsoft.com/office/drawing/2014/main" id="{CF39231C-D6DA-4111-4CE6-DBC713D7E5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5297488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15</xdr:row>
      <xdr:rowOff>39688</xdr:rowOff>
    </xdr:from>
    <xdr:to>
      <xdr:col>27</xdr:col>
      <xdr:colOff>460375</xdr:colOff>
      <xdr:row>15</xdr:row>
      <xdr:rowOff>293688</xdr:rowOff>
    </xdr:to>
    <xdr:pic>
      <xdr:nvPicPr>
        <xdr:cNvPr id="666" name="Picture 665">
          <a:extLst>
            <a:ext uri="{FF2B5EF4-FFF2-40B4-BE49-F238E27FC236}">
              <a16:creationId xmlns:a16="http://schemas.microsoft.com/office/drawing/2014/main" id="{7D842E27-93B3-DFB5-93AD-6E0BA389C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5297488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15</xdr:row>
      <xdr:rowOff>39688</xdr:rowOff>
    </xdr:from>
    <xdr:to>
      <xdr:col>39</xdr:col>
      <xdr:colOff>460375</xdr:colOff>
      <xdr:row>15</xdr:row>
      <xdr:rowOff>293688</xdr:rowOff>
    </xdr:to>
    <xdr:pic>
      <xdr:nvPicPr>
        <xdr:cNvPr id="669" name="Picture 668">
          <a:extLst>
            <a:ext uri="{FF2B5EF4-FFF2-40B4-BE49-F238E27FC236}">
              <a16:creationId xmlns:a16="http://schemas.microsoft.com/office/drawing/2014/main" id="{E1074466-AC23-845B-11BB-969027FE03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5297488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15</xdr:row>
      <xdr:rowOff>39688</xdr:rowOff>
    </xdr:from>
    <xdr:to>
      <xdr:col>171</xdr:col>
      <xdr:colOff>460375</xdr:colOff>
      <xdr:row>15</xdr:row>
      <xdr:rowOff>293688</xdr:rowOff>
    </xdr:to>
    <xdr:pic>
      <xdr:nvPicPr>
        <xdr:cNvPr id="672" name="Picture 671">
          <a:extLst>
            <a:ext uri="{FF2B5EF4-FFF2-40B4-BE49-F238E27FC236}">
              <a16:creationId xmlns:a16="http://schemas.microsoft.com/office/drawing/2014/main" id="{78F6EABA-8391-566A-A4C3-E217C36F67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5297488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15</xdr:row>
      <xdr:rowOff>39688</xdr:rowOff>
    </xdr:from>
    <xdr:to>
      <xdr:col>75</xdr:col>
      <xdr:colOff>460375</xdr:colOff>
      <xdr:row>15</xdr:row>
      <xdr:rowOff>293688</xdr:rowOff>
    </xdr:to>
    <xdr:pic>
      <xdr:nvPicPr>
        <xdr:cNvPr id="675" name="Picture 674">
          <a:extLst>
            <a:ext uri="{FF2B5EF4-FFF2-40B4-BE49-F238E27FC236}">
              <a16:creationId xmlns:a16="http://schemas.microsoft.com/office/drawing/2014/main" id="{4DCACE1E-ABE6-6068-DFE1-E47E104DF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5297488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15</xdr:row>
      <xdr:rowOff>39688</xdr:rowOff>
    </xdr:from>
    <xdr:to>
      <xdr:col>231</xdr:col>
      <xdr:colOff>460375</xdr:colOff>
      <xdr:row>15</xdr:row>
      <xdr:rowOff>293688</xdr:rowOff>
    </xdr:to>
    <xdr:pic>
      <xdr:nvPicPr>
        <xdr:cNvPr id="678" name="Picture 677">
          <a:extLst>
            <a:ext uri="{FF2B5EF4-FFF2-40B4-BE49-F238E27FC236}">
              <a16:creationId xmlns:a16="http://schemas.microsoft.com/office/drawing/2014/main" id="{4258BE8D-905A-3801-27D3-71E35F6FFA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5297488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15</xdr:row>
      <xdr:rowOff>39688</xdr:rowOff>
    </xdr:from>
    <xdr:to>
      <xdr:col>87</xdr:col>
      <xdr:colOff>460375</xdr:colOff>
      <xdr:row>15</xdr:row>
      <xdr:rowOff>293688</xdr:rowOff>
    </xdr:to>
    <xdr:pic>
      <xdr:nvPicPr>
        <xdr:cNvPr id="681" name="Picture 680">
          <a:extLst>
            <a:ext uri="{FF2B5EF4-FFF2-40B4-BE49-F238E27FC236}">
              <a16:creationId xmlns:a16="http://schemas.microsoft.com/office/drawing/2014/main" id="{01CC6A27-1E22-76AD-7AA7-A89C968BCD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5297488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15</xdr:row>
      <xdr:rowOff>39688</xdr:rowOff>
    </xdr:from>
    <xdr:to>
      <xdr:col>51</xdr:col>
      <xdr:colOff>460375</xdr:colOff>
      <xdr:row>15</xdr:row>
      <xdr:rowOff>293688</xdr:rowOff>
    </xdr:to>
    <xdr:pic>
      <xdr:nvPicPr>
        <xdr:cNvPr id="684" name="Picture 683">
          <a:extLst>
            <a:ext uri="{FF2B5EF4-FFF2-40B4-BE49-F238E27FC236}">
              <a16:creationId xmlns:a16="http://schemas.microsoft.com/office/drawing/2014/main" id="{8397D5BE-E1A8-14A8-5F74-07AC02488D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5297488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15</xdr:row>
      <xdr:rowOff>39688</xdr:rowOff>
    </xdr:from>
    <xdr:to>
      <xdr:col>99</xdr:col>
      <xdr:colOff>460375</xdr:colOff>
      <xdr:row>15</xdr:row>
      <xdr:rowOff>293688</xdr:rowOff>
    </xdr:to>
    <xdr:pic>
      <xdr:nvPicPr>
        <xdr:cNvPr id="687" name="Picture 686">
          <a:extLst>
            <a:ext uri="{FF2B5EF4-FFF2-40B4-BE49-F238E27FC236}">
              <a16:creationId xmlns:a16="http://schemas.microsoft.com/office/drawing/2014/main" id="{0AF25472-BE91-E9BE-3953-81BA583875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5297488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15</xdr:row>
      <xdr:rowOff>39688</xdr:rowOff>
    </xdr:from>
    <xdr:to>
      <xdr:col>111</xdr:col>
      <xdr:colOff>460375</xdr:colOff>
      <xdr:row>15</xdr:row>
      <xdr:rowOff>293688</xdr:rowOff>
    </xdr:to>
    <xdr:pic>
      <xdr:nvPicPr>
        <xdr:cNvPr id="690" name="Picture 689">
          <a:extLst>
            <a:ext uri="{FF2B5EF4-FFF2-40B4-BE49-F238E27FC236}">
              <a16:creationId xmlns:a16="http://schemas.microsoft.com/office/drawing/2014/main" id="{7C8157D1-D878-24F5-A355-AD918A973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5297488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263525</xdr:colOff>
      <xdr:row>15</xdr:row>
      <xdr:rowOff>39688</xdr:rowOff>
    </xdr:from>
    <xdr:to>
      <xdr:col>147</xdr:col>
      <xdr:colOff>403225</xdr:colOff>
      <xdr:row>15</xdr:row>
      <xdr:rowOff>293688</xdr:rowOff>
    </xdr:to>
    <xdr:pic>
      <xdr:nvPicPr>
        <xdr:cNvPr id="693" name="Picture 692">
          <a:extLst>
            <a:ext uri="{FF2B5EF4-FFF2-40B4-BE49-F238E27FC236}">
              <a16:creationId xmlns:a16="http://schemas.microsoft.com/office/drawing/2014/main" id="{FEE2E0E0-99B8-D0AA-5A72-489DBA78E8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89100" y="5297488"/>
          <a:ext cx="1397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15</xdr:row>
      <xdr:rowOff>39688</xdr:rowOff>
    </xdr:from>
    <xdr:to>
      <xdr:col>135</xdr:col>
      <xdr:colOff>460375</xdr:colOff>
      <xdr:row>15</xdr:row>
      <xdr:rowOff>293688</xdr:rowOff>
    </xdr:to>
    <xdr:pic>
      <xdr:nvPicPr>
        <xdr:cNvPr id="696" name="Picture 695">
          <a:extLst>
            <a:ext uri="{FF2B5EF4-FFF2-40B4-BE49-F238E27FC236}">
              <a16:creationId xmlns:a16="http://schemas.microsoft.com/office/drawing/2014/main" id="{6B722A86-1381-EA93-4DB1-7864C1826E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5297488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230001</xdr:colOff>
      <xdr:row>15</xdr:row>
      <xdr:rowOff>39688</xdr:rowOff>
    </xdr:from>
    <xdr:to>
      <xdr:col>183</xdr:col>
      <xdr:colOff>436745</xdr:colOff>
      <xdr:row>15</xdr:row>
      <xdr:rowOff>293688</xdr:rowOff>
    </xdr:to>
    <xdr:pic>
      <xdr:nvPicPr>
        <xdr:cNvPr id="699" name="Picture 698">
          <a:extLst>
            <a:ext uri="{FF2B5EF4-FFF2-40B4-BE49-F238E27FC236}">
              <a16:creationId xmlns:a16="http://schemas.microsoft.com/office/drawing/2014/main" id="{21D6EFC7-04FF-E8F6-F17B-2AA44E01C6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58301" y="5297488"/>
          <a:ext cx="206744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15</xdr:row>
      <xdr:rowOff>39688</xdr:rowOff>
    </xdr:from>
    <xdr:to>
      <xdr:col>123</xdr:col>
      <xdr:colOff>460375</xdr:colOff>
      <xdr:row>15</xdr:row>
      <xdr:rowOff>293688</xdr:rowOff>
    </xdr:to>
    <xdr:pic>
      <xdr:nvPicPr>
        <xdr:cNvPr id="702" name="Picture 701">
          <a:extLst>
            <a:ext uri="{FF2B5EF4-FFF2-40B4-BE49-F238E27FC236}">
              <a16:creationId xmlns:a16="http://schemas.microsoft.com/office/drawing/2014/main" id="{89B2D75C-57A0-6131-CA8E-E3F2FAAAAD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5297488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15</xdr:row>
      <xdr:rowOff>39688</xdr:rowOff>
    </xdr:from>
    <xdr:to>
      <xdr:col>195</xdr:col>
      <xdr:colOff>460375</xdr:colOff>
      <xdr:row>15</xdr:row>
      <xdr:rowOff>293688</xdr:rowOff>
    </xdr:to>
    <xdr:pic>
      <xdr:nvPicPr>
        <xdr:cNvPr id="705" name="Picture 704">
          <a:extLst>
            <a:ext uri="{FF2B5EF4-FFF2-40B4-BE49-F238E27FC236}">
              <a16:creationId xmlns:a16="http://schemas.microsoft.com/office/drawing/2014/main" id="{985FF5A1-870B-D819-83E8-9595AA463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5297488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15</xdr:row>
      <xdr:rowOff>39688</xdr:rowOff>
    </xdr:from>
    <xdr:to>
      <xdr:col>159</xdr:col>
      <xdr:colOff>460375</xdr:colOff>
      <xdr:row>15</xdr:row>
      <xdr:rowOff>293688</xdr:rowOff>
    </xdr:to>
    <xdr:pic>
      <xdr:nvPicPr>
        <xdr:cNvPr id="708" name="Picture 707">
          <a:extLst>
            <a:ext uri="{FF2B5EF4-FFF2-40B4-BE49-F238E27FC236}">
              <a16:creationId xmlns:a16="http://schemas.microsoft.com/office/drawing/2014/main" id="{A032F2D2-C3F7-8DB0-FEFB-8A1BE50930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5297488"/>
          <a:ext cx="254000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15</xdr:row>
      <xdr:rowOff>39688</xdr:rowOff>
    </xdr:from>
    <xdr:to>
      <xdr:col>207</xdr:col>
      <xdr:colOff>460375</xdr:colOff>
      <xdr:row>15</xdr:row>
      <xdr:rowOff>293688</xdr:rowOff>
    </xdr:to>
    <xdr:pic>
      <xdr:nvPicPr>
        <xdr:cNvPr id="711" name="Picture 710">
          <a:extLst>
            <a:ext uri="{FF2B5EF4-FFF2-40B4-BE49-F238E27FC236}">
              <a16:creationId xmlns:a16="http://schemas.microsoft.com/office/drawing/2014/main" id="{22829496-F7CB-ED93-087C-6B469EFA68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5297488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181209</xdr:colOff>
      <xdr:row>15</xdr:row>
      <xdr:rowOff>39688</xdr:rowOff>
    </xdr:from>
    <xdr:to>
      <xdr:col>3</xdr:col>
      <xdr:colOff>485541</xdr:colOff>
      <xdr:row>15</xdr:row>
      <xdr:rowOff>293688</xdr:rowOff>
    </xdr:to>
    <xdr:pic>
      <xdr:nvPicPr>
        <xdr:cNvPr id="714" name="Picture 713">
          <a:extLst>
            <a:ext uri="{FF2B5EF4-FFF2-40B4-BE49-F238E27FC236}">
              <a16:creationId xmlns:a16="http://schemas.microsoft.com/office/drawing/2014/main" id="{E56B703F-2CA9-ABD7-C560-C4125CE29D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4859" y="5297488"/>
          <a:ext cx="304332" cy="254000"/>
        </a:xfrm>
        <a:prstGeom prst="rect">
          <a:avLst/>
        </a:prstGeom>
      </xdr:spPr>
    </xdr:pic>
    <xdr:clientData/>
  </xdr:twoCellAnchor>
  <xdr:twoCellAnchor>
    <xdr:from>
      <xdr:col>219</xdr:col>
      <xdr:colOff>223131</xdr:colOff>
      <xdr:row>15</xdr:row>
      <xdr:rowOff>39688</xdr:rowOff>
    </xdr:from>
    <xdr:to>
      <xdr:col>219</xdr:col>
      <xdr:colOff>443617</xdr:colOff>
      <xdr:row>15</xdr:row>
      <xdr:rowOff>293688</xdr:rowOff>
    </xdr:to>
    <xdr:pic>
      <xdr:nvPicPr>
        <xdr:cNvPr id="717" name="Picture 716">
          <a:extLst>
            <a:ext uri="{FF2B5EF4-FFF2-40B4-BE49-F238E27FC236}">
              <a16:creationId xmlns:a16="http://schemas.microsoft.com/office/drawing/2014/main" id="{5CBEFC8C-8BBC-0854-0568-83A974A4A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54156" y="5297488"/>
          <a:ext cx="220486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15</xdr:row>
      <xdr:rowOff>39688</xdr:rowOff>
    </xdr:from>
    <xdr:to>
      <xdr:col>63</xdr:col>
      <xdr:colOff>460375</xdr:colOff>
      <xdr:row>15</xdr:row>
      <xdr:rowOff>293688</xdr:rowOff>
    </xdr:to>
    <xdr:pic>
      <xdr:nvPicPr>
        <xdr:cNvPr id="720" name="Picture 719">
          <a:extLst>
            <a:ext uri="{FF2B5EF4-FFF2-40B4-BE49-F238E27FC236}">
              <a16:creationId xmlns:a16="http://schemas.microsoft.com/office/drawing/2014/main" id="{E93AA019-8219-3098-1EFC-D59FA5F4B7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5297488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16</xdr:row>
      <xdr:rowOff>39688</xdr:rowOff>
    </xdr:from>
    <xdr:to>
      <xdr:col>3</xdr:col>
      <xdr:colOff>460375</xdr:colOff>
      <xdr:row>16</xdr:row>
      <xdr:rowOff>293688</xdr:rowOff>
    </xdr:to>
    <xdr:pic>
      <xdr:nvPicPr>
        <xdr:cNvPr id="723" name="Picture 722">
          <a:extLst>
            <a:ext uri="{FF2B5EF4-FFF2-40B4-BE49-F238E27FC236}">
              <a16:creationId xmlns:a16="http://schemas.microsoft.com/office/drawing/2014/main" id="{A82C3B09-B25F-FD83-E009-5363EE53DC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5630863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16</xdr:row>
      <xdr:rowOff>39688</xdr:rowOff>
    </xdr:from>
    <xdr:to>
      <xdr:col>195</xdr:col>
      <xdr:colOff>460375</xdr:colOff>
      <xdr:row>16</xdr:row>
      <xdr:rowOff>293688</xdr:rowOff>
    </xdr:to>
    <xdr:pic>
      <xdr:nvPicPr>
        <xdr:cNvPr id="726" name="Picture 725">
          <a:extLst>
            <a:ext uri="{FF2B5EF4-FFF2-40B4-BE49-F238E27FC236}">
              <a16:creationId xmlns:a16="http://schemas.microsoft.com/office/drawing/2014/main" id="{1AD9A9E8-A88D-54F5-885D-3DF1E8F5FC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5630863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16</xdr:row>
      <xdr:rowOff>39688</xdr:rowOff>
    </xdr:from>
    <xdr:to>
      <xdr:col>27</xdr:col>
      <xdr:colOff>460375</xdr:colOff>
      <xdr:row>16</xdr:row>
      <xdr:rowOff>293688</xdr:rowOff>
    </xdr:to>
    <xdr:pic>
      <xdr:nvPicPr>
        <xdr:cNvPr id="729" name="Picture 728">
          <a:extLst>
            <a:ext uri="{FF2B5EF4-FFF2-40B4-BE49-F238E27FC236}">
              <a16:creationId xmlns:a16="http://schemas.microsoft.com/office/drawing/2014/main" id="{ADBD702F-657B-5939-B042-C1D251F1A8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5630863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16</xdr:row>
      <xdr:rowOff>39688</xdr:rowOff>
    </xdr:from>
    <xdr:to>
      <xdr:col>219</xdr:col>
      <xdr:colOff>460375</xdr:colOff>
      <xdr:row>16</xdr:row>
      <xdr:rowOff>293688</xdr:rowOff>
    </xdr:to>
    <xdr:pic>
      <xdr:nvPicPr>
        <xdr:cNvPr id="732" name="Picture 731">
          <a:extLst>
            <a:ext uri="{FF2B5EF4-FFF2-40B4-BE49-F238E27FC236}">
              <a16:creationId xmlns:a16="http://schemas.microsoft.com/office/drawing/2014/main" id="{DD9F924C-308E-685C-8CE9-CEFCE55E4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5630863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16</xdr:row>
      <xdr:rowOff>39688</xdr:rowOff>
    </xdr:from>
    <xdr:to>
      <xdr:col>51</xdr:col>
      <xdr:colOff>460375</xdr:colOff>
      <xdr:row>16</xdr:row>
      <xdr:rowOff>293688</xdr:rowOff>
    </xdr:to>
    <xdr:pic>
      <xdr:nvPicPr>
        <xdr:cNvPr id="735" name="Picture 734">
          <a:extLst>
            <a:ext uri="{FF2B5EF4-FFF2-40B4-BE49-F238E27FC236}">
              <a16:creationId xmlns:a16="http://schemas.microsoft.com/office/drawing/2014/main" id="{9EC92157-6004-BA19-9C63-A4ED53C430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5630863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16</xdr:row>
      <xdr:rowOff>39688</xdr:rowOff>
    </xdr:from>
    <xdr:to>
      <xdr:col>39</xdr:col>
      <xdr:colOff>460375</xdr:colOff>
      <xdr:row>16</xdr:row>
      <xdr:rowOff>293688</xdr:rowOff>
    </xdr:to>
    <xdr:pic>
      <xdr:nvPicPr>
        <xdr:cNvPr id="738" name="Picture 737">
          <a:extLst>
            <a:ext uri="{FF2B5EF4-FFF2-40B4-BE49-F238E27FC236}">
              <a16:creationId xmlns:a16="http://schemas.microsoft.com/office/drawing/2014/main" id="{1AAC5D7E-46D0-A7F9-D6F6-40B1907AD5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5630863"/>
          <a:ext cx="254000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16</xdr:row>
      <xdr:rowOff>39688</xdr:rowOff>
    </xdr:from>
    <xdr:to>
      <xdr:col>63</xdr:col>
      <xdr:colOff>460375</xdr:colOff>
      <xdr:row>16</xdr:row>
      <xdr:rowOff>293688</xdr:rowOff>
    </xdr:to>
    <xdr:pic>
      <xdr:nvPicPr>
        <xdr:cNvPr id="741" name="Picture 740">
          <a:extLst>
            <a:ext uri="{FF2B5EF4-FFF2-40B4-BE49-F238E27FC236}">
              <a16:creationId xmlns:a16="http://schemas.microsoft.com/office/drawing/2014/main" id="{EDC54A1D-5107-8AC4-C933-A5C8924A3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5630863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223131</xdr:colOff>
      <xdr:row>16</xdr:row>
      <xdr:rowOff>39688</xdr:rowOff>
    </xdr:from>
    <xdr:to>
      <xdr:col>75</xdr:col>
      <xdr:colOff>443617</xdr:colOff>
      <xdr:row>16</xdr:row>
      <xdr:rowOff>293688</xdr:rowOff>
    </xdr:to>
    <xdr:pic>
      <xdr:nvPicPr>
        <xdr:cNvPr id="744" name="Picture 743">
          <a:extLst>
            <a:ext uri="{FF2B5EF4-FFF2-40B4-BE49-F238E27FC236}">
              <a16:creationId xmlns:a16="http://schemas.microsoft.com/office/drawing/2014/main" id="{75606322-79EC-7FB1-42C9-BED320A5AC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43256" y="5630863"/>
          <a:ext cx="220486" cy="254000"/>
        </a:xfrm>
        <a:prstGeom prst="rect">
          <a:avLst/>
        </a:prstGeom>
      </xdr:spPr>
    </xdr:pic>
    <xdr:clientData/>
  </xdr:twoCellAnchor>
  <xdr:twoCellAnchor>
    <xdr:from>
      <xdr:col>111</xdr:col>
      <xdr:colOff>181211</xdr:colOff>
      <xdr:row>16</xdr:row>
      <xdr:rowOff>39688</xdr:rowOff>
    </xdr:from>
    <xdr:to>
      <xdr:col>111</xdr:col>
      <xdr:colOff>485543</xdr:colOff>
      <xdr:row>16</xdr:row>
      <xdr:rowOff>293688</xdr:rowOff>
    </xdr:to>
    <xdr:pic>
      <xdr:nvPicPr>
        <xdr:cNvPr id="747" name="Picture 746">
          <a:extLst>
            <a:ext uri="{FF2B5EF4-FFF2-40B4-BE49-F238E27FC236}">
              <a16:creationId xmlns:a16="http://schemas.microsoft.com/office/drawing/2014/main" id="{D3FE0235-A48A-4569-85EF-3D701B8CAE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04061" y="5630863"/>
          <a:ext cx="304332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16</xdr:row>
      <xdr:rowOff>39688</xdr:rowOff>
    </xdr:from>
    <xdr:to>
      <xdr:col>207</xdr:col>
      <xdr:colOff>460375</xdr:colOff>
      <xdr:row>16</xdr:row>
      <xdr:rowOff>293688</xdr:rowOff>
    </xdr:to>
    <xdr:pic>
      <xdr:nvPicPr>
        <xdr:cNvPr id="750" name="Picture 749">
          <a:extLst>
            <a:ext uri="{FF2B5EF4-FFF2-40B4-BE49-F238E27FC236}">
              <a16:creationId xmlns:a16="http://schemas.microsoft.com/office/drawing/2014/main" id="{E9F6EEB7-406C-7553-9BA8-54C87D26A4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5630863"/>
          <a:ext cx="254000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16</xdr:row>
      <xdr:rowOff>39688</xdr:rowOff>
    </xdr:from>
    <xdr:to>
      <xdr:col>123</xdr:col>
      <xdr:colOff>460375</xdr:colOff>
      <xdr:row>16</xdr:row>
      <xdr:rowOff>293688</xdr:rowOff>
    </xdr:to>
    <xdr:pic>
      <xdr:nvPicPr>
        <xdr:cNvPr id="753" name="Picture 752">
          <a:extLst>
            <a:ext uri="{FF2B5EF4-FFF2-40B4-BE49-F238E27FC236}">
              <a16:creationId xmlns:a16="http://schemas.microsoft.com/office/drawing/2014/main" id="{26C340B2-A288-B255-9C27-0603FB4B03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5630863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230003</xdr:colOff>
      <xdr:row>16</xdr:row>
      <xdr:rowOff>39688</xdr:rowOff>
    </xdr:from>
    <xdr:to>
      <xdr:col>15</xdr:col>
      <xdr:colOff>436747</xdr:colOff>
      <xdr:row>16</xdr:row>
      <xdr:rowOff>293688</xdr:rowOff>
    </xdr:to>
    <xdr:pic>
      <xdr:nvPicPr>
        <xdr:cNvPr id="756" name="Picture 755">
          <a:extLst>
            <a:ext uri="{FF2B5EF4-FFF2-40B4-BE49-F238E27FC236}">
              <a16:creationId xmlns:a16="http://schemas.microsoft.com/office/drawing/2014/main" id="{A216409E-01B9-9956-743F-1F9410D9E7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93203" y="5630863"/>
          <a:ext cx="206744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16</xdr:row>
      <xdr:rowOff>39688</xdr:rowOff>
    </xdr:from>
    <xdr:to>
      <xdr:col>135</xdr:col>
      <xdr:colOff>460375</xdr:colOff>
      <xdr:row>16</xdr:row>
      <xdr:rowOff>293688</xdr:rowOff>
    </xdr:to>
    <xdr:pic>
      <xdr:nvPicPr>
        <xdr:cNvPr id="759" name="Picture 758">
          <a:extLst>
            <a:ext uri="{FF2B5EF4-FFF2-40B4-BE49-F238E27FC236}">
              <a16:creationId xmlns:a16="http://schemas.microsoft.com/office/drawing/2014/main" id="{FDDE73B9-E284-313A-3F06-833C5951E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5630863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263525</xdr:colOff>
      <xdr:row>16</xdr:row>
      <xdr:rowOff>39688</xdr:rowOff>
    </xdr:from>
    <xdr:to>
      <xdr:col>183</xdr:col>
      <xdr:colOff>403225</xdr:colOff>
      <xdr:row>16</xdr:row>
      <xdr:rowOff>293688</xdr:rowOff>
    </xdr:to>
    <xdr:pic>
      <xdr:nvPicPr>
        <xdr:cNvPr id="762" name="Picture 761">
          <a:extLst>
            <a:ext uri="{FF2B5EF4-FFF2-40B4-BE49-F238E27FC236}">
              <a16:creationId xmlns:a16="http://schemas.microsoft.com/office/drawing/2014/main" id="{DCE440FE-59BE-E2F6-803E-FDA8025F2C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91825" y="5630863"/>
          <a:ext cx="1397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16</xdr:row>
      <xdr:rowOff>39688</xdr:rowOff>
    </xdr:from>
    <xdr:to>
      <xdr:col>159</xdr:col>
      <xdr:colOff>460375</xdr:colOff>
      <xdr:row>16</xdr:row>
      <xdr:rowOff>293688</xdr:rowOff>
    </xdr:to>
    <xdr:pic>
      <xdr:nvPicPr>
        <xdr:cNvPr id="765" name="Picture 764">
          <a:extLst>
            <a:ext uri="{FF2B5EF4-FFF2-40B4-BE49-F238E27FC236}">
              <a16:creationId xmlns:a16="http://schemas.microsoft.com/office/drawing/2014/main" id="{A091A960-CF0A-8ED5-D779-45FE747577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5630863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16</xdr:row>
      <xdr:rowOff>39688</xdr:rowOff>
    </xdr:from>
    <xdr:to>
      <xdr:col>99</xdr:col>
      <xdr:colOff>460375</xdr:colOff>
      <xdr:row>16</xdr:row>
      <xdr:rowOff>293688</xdr:rowOff>
    </xdr:to>
    <xdr:pic>
      <xdr:nvPicPr>
        <xdr:cNvPr id="768" name="Picture 767">
          <a:extLst>
            <a:ext uri="{FF2B5EF4-FFF2-40B4-BE49-F238E27FC236}">
              <a16:creationId xmlns:a16="http://schemas.microsoft.com/office/drawing/2014/main" id="{A792ECF5-1BD7-90D6-C8FE-861301F964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5630863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16</xdr:row>
      <xdr:rowOff>39688</xdr:rowOff>
    </xdr:from>
    <xdr:to>
      <xdr:col>171</xdr:col>
      <xdr:colOff>460375</xdr:colOff>
      <xdr:row>16</xdr:row>
      <xdr:rowOff>293688</xdr:rowOff>
    </xdr:to>
    <xdr:pic>
      <xdr:nvPicPr>
        <xdr:cNvPr id="771" name="Picture 770">
          <a:extLst>
            <a:ext uri="{FF2B5EF4-FFF2-40B4-BE49-F238E27FC236}">
              <a16:creationId xmlns:a16="http://schemas.microsoft.com/office/drawing/2014/main" id="{5FDE1460-61BE-3912-D3B2-589A9024C5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5630863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16</xdr:row>
      <xdr:rowOff>39688</xdr:rowOff>
    </xdr:from>
    <xdr:to>
      <xdr:col>147</xdr:col>
      <xdr:colOff>460375</xdr:colOff>
      <xdr:row>16</xdr:row>
      <xdr:rowOff>293688</xdr:rowOff>
    </xdr:to>
    <xdr:pic>
      <xdr:nvPicPr>
        <xdr:cNvPr id="774" name="Picture 773">
          <a:extLst>
            <a:ext uri="{FF2B5EF4-FFF2-40B4-BE49-F238E27FC236}">
              <a16:creationId xmlns:a16="http://schemas.microsoft.com/office/drawing/2014/main" id="{FDD88C7A-1CDD-8EA8-A6C7-B17DEC18D2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5630863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16</xdr:row>
      <xdr:rowOff>39688</xdr:rowOff>
    </xdr:from>
    <xdr:to>
      <xdr:col>231</xdr:col>
      <xdr:colOff>460375</xdr:colOff>
      <xdr:row>16</xdr:row>
      <xdr:rowOff>293688</xdr:rowOff>
    </xdr:to>
    <xdr:pic>
      <xdr:nvPicPr>
        <xdr:cNvPr id="777" name="Picture 776">
          <a:extLst>
            <a:ext uri="{FF2B5EF4-FFF2-40B4-BE49-F238E27FC236}">
              <a16:creationId xmlns:a16="http://schemas.microsoft.com/office/drawing/2014/main" id="{ADD14CDD-A295-2862-D9A4-0BAC40FFF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5630863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16</xdr:row>
      <xdr:rowOff>39688</xdr:rowOff>
    </xdr:from>
    <xdr:to>
      <xdr:col>87</xdr:col>
      <xdr:colOff>460375</xdr:colOff>
      <xdr:row>16</xdr:row>
      <xdr:rowOff>293688</xdr:rowOff>
    </xdr:to>
    <xdr:pic>
      <xdr:nvPicPr>
        <xdr:cNvPr id="780" name="Picture 779">
          <a:extLst>
            <a:ext uri="{FF2B5EF4-FFF2-40B4-BE49-F238E27FC236}">
              <a16:creationId xmlns:a16="http://schemas.microsoft.com/office/drawing/2014/main" id="{F73822A6-7F86-BAE0-42CD-EC8F369755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5630863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17</xdr:row>
      <xdr:rowOff>39688</xdr:rowOff>
    </xdr:from>
    <xdr:to>
      <xdr:col>15</xdr:col>
      <xdr:colOff>460375</xdr:colOff>
      <xdr:row>17</xdr:row>
      <xdr:rowOff>293688</xdr:rowOff>
    </xdr:to>
    <xdr:pic>
      <xdr:nvPicPr>
        <xdr:cNvPr id="783" name="Picture 782">
          <a:extLst>
            <a:ext uri="{FF2B5EF4-FFF2-40B4-BE49-F238E27FC236}">
              <a16:creationId xmlns:a16="http://schemas.microsoft.com/office/drawing/2014/main" id="{9C3720BD-87A5-7455-F6F0-8AA1C85F35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5964238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17</xdr:row>
      <xdr:rowOff>39688</xdr:rowOff>
    </xdr:from>
    <xdr:to>
      <xdr:col>231</xdr:col>
      <xdr:colOff>460375</xdr:colOff>
      <xdr:row>17</xdr:row>
      <xdr:rowOff>293688</xdr:rowOff>
    </xdr:to>
    <xdr:pic>
      <xdr:nvPicPr>
        <xdr:cNvPr id="786" name="Picture 785">
          <a:extLst>
            <a:ext uri="{FF2B5EF4-FFF2-40B4-BE49-F238E27FC236}">
              <a16:creationId xmlns:a16="http://schemas.microsoft.com/office/drawing/2014/main" id="{6121E465-07D7-2444-336F-782D95EA5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5964238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223132</xdr:colOff>
      <xdr:row>17</xdr:row>
      <xdr:rowOff>39688</xdr:rowOff>
    </xdr:from>
    <xdr:to>
      <xdr:col>39</xdr:col>
      <xdr:colOff>443618</xdr:colOff>
      <xdr:row>17</xdr:row>
      <xdr:rowOff>293688</xdr:rowOff>
    </xdr:to>
    <xdr:pic>
      <xdr:nvPicPr>
        <xdr:cNvPr id="789" name="Picture 788">
          <a:extLst>
            <a:ext uri="{FF2B5EF4-FFF2-40B4-BE49-F238E27FC236}">
              <a16:creationId xmlns:a16="http://schemas.microsoft.com/office/drawing/2014/main" id="{78860ADC-881E-F83A-E961-BD71DC6AF6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21482" y="5964238"/>
          <a:ext cx="220486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17</xdr:row>
      <xdr:rowOff>39688</xdr:rowOff>
    </xdr:from>
    <xdr:to>
      <xdr:col>63</xdr:col>
      <xdr:colOff>460375</xdr:colOff>
      <xdr:row>17</xdr:row>
      <xdr:rowOff>293688</xdr:rowOff>
    </xdr:to>
    <xdr:pic>
      <xdr:nvPicPr>
        <xdr:cNvPr id="792" name="Picture 791">
          <a:extLst>
            <a:ext uri="{FF2B5EF4-FFF2-40B4-BE49-F238E27FC236}">
              <a16:creationId xmlns:a16="http://schemas.microsoft.com/office/drawing/2014/main" id="{95294379-7794-118A-80FA-7F0B103A01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5964238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17</xdr:row>
      <xdr:rowOff>39688</xdr:rowOff>
    </xdr:from>
    <xdr:to>
      <xdr:col>75</xdr:col>
      <xdr:colOff>460375</xdr:colOff>
      <xdr:row>17</xdr:row>
      <xdr:rowOff>293688</xdr:rowOff>
    </xdr:to>
    <xdr:pic>
      <xdr:nvPicPr>
        <xdr:cNvPr id="795" name="Picture 794">
          <a:extLst>
            <a:ext uri="{FF2B5EF4-FFF2-40B4-BE49-F238E27FC236}">
              <a16:creationId xmlns:a16="http://schemas.microsoft.com/office/drawing/2014/main" id="{5C73A548-B2F8-7DDC-0AE0-D50246F45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5964238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17</xdr:row>
      <xdr:rowOff>39688</xdr:rowOff>
    </xdr:from>
    <xdr:to>
      <xdr:col>3</xdr:col>
      <xdr:colOff>460375</xdr:colOff>
      <xdr:row>17</xdr:row>
      <xdr:rowOff>293688</xdr:rowOff>
    </xdr:to>
    <xdr:pic>
      <xdr:nvPicPr>
        <xdr:cNvPr id="798" name="Picture 797">
          <a:extLst>
            <a:ext uri="{FF2B5EF4-FFF2-40B4-BE49-F238E27FC236}">
              <a16:creationId xmlns:a16="http://schemas.microsoft.com/office/drawing/2014/main" id="{FC4E1154-870C-E800-8512-BFAD1640CD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5964238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17</xdr:row>
      <xdr:rowOff>39688</xdr:rowOff>
    </xdr:from>
    <xdr:to>
      <xdr:col>87</xdr:col>
      <xdr:colOff>460375</xdr:colOff>
      <xdr:row>17</xdr:row>
      <xdr:rowOff>293688</xdr:rowOff>
    </xdr:to>
    <xdr:pic>
      <xdr:nvPicPr>
        <xdr:cNvPr id="801" name="Picture 800">
          <a:extLst>
            <a:ext uri="{FF2B5EF4-FFF2-40B4-BE49-F238E27FC236}">
              <a16:creationId xmlns:a16="http://schemas.microsoft.com/office/drawing/2014/main" id="{76B8F267-EFEF-631C-0041-F9D6550C5A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5964238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17</xdr:row>
      <xdr:rowOff>39688</xdr:rowOff>
    </xdr:from>
    <xdr:to>
      <xdr:col>159</xdr:col>
      <xdr:colOff>460375</xdr:colOff>
      <xdr:row>17</xdr:row>
      <xdr:rowOff>293688</xdr:rowOff>
    </xdr:to>
    <xdr:pic>
      <xdr:nvPicPr>
        <xdr:cNvPr id="804" name="Picture 803">
          <a:extLst>
            <a:ext uri="{FF2B5EF4-FFF2-40B4-BE49-F238E27FC236}">
              <a16:creationId xmlns:a16="http://schemas.microsoft.com/office/drawing/2014/main" id="{EC4D7386-6E9A-2D55-D189-83C20F5E68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5964238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17</xdr:row>
      <xdr:rowOff>39688</xdr:rowOff>
    </xdr:from>
    <xdr:to>
      <xdr:col>99</xdr:col>
      <xdr:colOff>460375</xdr:colOff>
      <xdr:row>17</xdr:row>
      <xdr:rowOff>293688</xdr:rowOff>
    </xdr:to>
    <xdr:pic>
      <xdr:nvPicPr>
        <xdr:cNvPr id="807" name="Picture 806">
          <a:extLst>
            <a:ext uri="{FF2B5EF4-FFF2-40B4-BE49-F238E27FC236}">
              <a16:creationId xmlns:a16="http://schemas.microsoft.com/office/drawing/2014/main" id="{9DB93F8D-2FA9-1B73-84CC-2DAF382C97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5964238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17</xdr:row>
      <xdr:rowOff>39688</xdr:rowOff>
    </xdr:from>
    <xdr:to>
      <xdr:col>171</xdr:col>
      <xdr:colOff>460375</xdr:colOff>
      <xdr:row>17</xdr:row>
      <xdr:rowOff>293688</xdr:rowOff>
    </xdr:to>
    <xdr:pic>
      <xdr:nvPicPr>
        <xdr:cNvPr id="810" name="Picture 809">
          <a:extLst>
            <a:ext uri="{FF2B5EF4-FFF2-40B4-BE49-F238E27FC236}">
              <a16:creationId xmlns:a16="http://schemas.microsoft.com/office/drawing/2014/main" id="{24DD90D8-D302-4723-9437-67E371C41A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5964238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230001</xdr:colOff>
      <xdr:row>17</xdr:row>
      <xdr:rowOff>39688</xdr:rowOff>
    </xdr:from>
    <xdr:to>
      <xdr:col>147</xdr:col>
      <xdr:colOff>436745</xdr:colOff>
      <xdr:row>17</xdr:row>
      <xdr:rowOff>293688</xdr:rowOff>
    </xdr:to>
    <xdr:pic>
      <xdr:nvPicPr>
        <xdr:cNvPr id="813" name="Picture 812">
          <a:extLst>
            <a:ext uri="{FF2B5EF4-FFF2-40B4-BE49-F238E27FC236}">
              <a16:creationId xmlns:a16="http://schemas.microsoft.com/office/drawing/2014/main" id="{80B092B5-6724-0EE4-C6BA-CC290640D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55576" y="5964238"/>
          <a:ext cx="206744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17</xdr:row>
      <xdr:rowOff>39688</xdr:rowOff>
    </xdr:from>
    <xdr:to>
      <xdr:col>123</xdr:col>
      <xdr:colOff>460375</xdr:colOff>
      <xdr:row>17</xdr:row>
      <xdr:rowOff>293688</xdr:rowOff>
    </xdr:to>
    <xdr:pic>
      <xdr:nvPicPr>
        <xdr:cNvPr id="816" name="Picture 815">
          <a:extLst>
            <a:ext uri="{FF2B5EF4-FFF2-40B4-BE49-F238E27FC236}">
              <a16:creationId xmlns:a16="http://schemas.microsoft.com/office/drawing/2014/main" id="{C0520B58-C3D8-11E6-8B42-901867838B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5964238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17</xdr:row>
      <xdr:rowOff>39688</xdr:rowOff>
    </xdr:from>
    <xdr:to>
      <xdr:col>183</xdr:col>
      <xdr:colOff>460375</xdr:colOff>
      <xdr:row>17</xdr:row>
      <xdr:rowOff>293688</xdr:rowOff>
    </xdr:to>
    <xdr:pic>
      <xdr:nvPicPr>
        <xdr:cNvPr id="819" name="Picture 818">
          <a:extLst>
            <a:ext uri="{FF2B5EF4-FFF2-40B4-BE49-F238E27FC236}">
              <a16:creationId xmlns:a16="http://schemas.microsoft.com/office/drawing/2014/main" id="{2F0A7751-9923-D415-6B39-C3FE87B347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5964238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17</xdr:row>
      <xdr:rowOff>39688</xdr:rowOff>
    </xdr:from>
    <xdr:to>
      <xdr:col>51</xdr:col>
      <xdr:colOff>460375</xdr:colOff>
      <xdr:row>17</xdr:row>
      <xdr:rowOff>293688</xdr:rowOff>
    </xdr:to>
    <xdr:pic>
      <xdr:nvPicPr>
        <xdr:cNvPr id="822" name="Picture 821">
          <a:extLst>
            <a:ext uri="{FF2B5EF4-FFF2-40B4-BE49-F238E27FC236}">
              <a16:creationId xmlns:a16="http://schemas.microsoft.com/office/drawing/2014/main" id="{CF7C79F6-87E7-A35B-9BAF-C9B0E9F3A1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5964238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17</xdr:row>
      <xdr:rowOff>39688</xdr:rowOff>
    </xdr:from>
    <xdr:to>
      <xdr:col>195</xdr:col>
      <xdr:colOff>460375</xdr:colOff>
      <xdr:row>17</xdr:row>
      <xdr:rowOff>293688</xdr:rowOff>
    </xdr:to>
    <xdr:pic>
      <xdr:nvPicPr>
        <xdr:cNvPr id="825" name="Picture 824">
          <a:extLst>
            <a:ext uri="{FF2B5EF4-FFF2-40B4-BE49-F238E27FC236}">
              <a16:creationId xmlns:a16="http://schemas.microsoft.com/office/drawing/2014/main" id="{414A5036-EFB7-0857-4324-AC5AD84031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5964238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17</xdr:row>
      <xdr:rowOff>39688</xdr:rowOff>
    </xdr:from>
    <xdr:to>
      <xdr:col>111</xdr:col>
      <xdr:colOff>460375</xdr:colOff>
      <xdr:row>17</xdr:row>
      <xdr:rowOff>293688</xdr:rowOff>
    </xdr:to>
    <xdr:pic>
      <xdr:nvPicPr>
        <xdr:cNvPr id="828" name="Picture 827">
          <a:extLst>
            <a:ext uri="{FF2B5EF4-FFF2-40B4-BE49-F238E27FC236}">
              <a16:creationId xmlns:a16="http://schemas.microsoft.com/office/drawing/2014/main" id="{7140F24E-E143-2B7A-1BF6-F7C8191BD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5964238"/>
          <a:ext cx="254000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17</xdr:row>
      <xdr:rowOff>39688</xdr:rowOff>
    </xdr:from>
    <xdr:to>
      <xdr:col>207</xdr:col>
      <xdr:colOff>460375</xdr:colOff>
      <xdr:row>17</xdr:row>
      <xdr:rowOff>293688</xdr:rowOff>
    </xdr:to>
    <xdr:pic>
      <xdr:nvPicPr>
        <xdr:cNvPr id="831" name="Picture 830">
          <a:extLst>
            <a:ext uri="{FF2B5EF4-FFF2-40B4-BE49-F238E27FC236}">
              <a16:creationId xmlns:a16="http://schemas.microsoft.com/office/drawing/2014/main" id="{6C81AFF5-EE7C-5C90-1E8F-830B2B6B58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5964238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181209</xdr:colOff>
      <xdr:row>17</xdr:row>
      <xdr:rowOff>39688</xdr:rowOff>
    </xdr:from>
    <xdr:to>
      <xdr:col>27</xdr:col>
      <xdr:colOff>485541</xdr:colOff>
      <xdr:row>17</xdr:row>
      <xdr:rowOff>293688</xdr:rowOff>
    </xdr:to>
    <xdr:pic>
      <xdr:nvPicPr>
        <xdr:cNvPr id="834" name="Picture 833">
          <a:extLst>
            <a:ext uri="{FF2B5EF4-FFF2-40B4-BE49-F238E27FC236}">
              <a16:creationId xmlns:a16="http://schemas.microsoft.com/office/drawing/2014/main" id="{B2623642-0062-4412-E0E3-20B6D7C88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21509" y="5964238"/>
          <a:ext cx="304332" cy="254000"/>
        </a:xfrm>
        <a:prstGeom prst="rect">
          <a:avLst/>
        </a:prstGeom>
      </xdr:spPr>
    </xdr:pic>
    <xdr:clientData/>
  </xdr:twoCellAnchor>
  <xdr:twoCellAnchor>
    <xdr:from>
      <xdr:col>219</xdr:col>
      <xdr:colOff>263525</xdr:colOff>
      <xdr:row>17</xdr:row>
      <xdr:rowOff>39688</xdr:rowOff>
    </xdr:from>
    <xdr:to>
      <xdr:col>219</xdr:col>
      <xdr:colOff>403225</xdr:colOff>
      <xdr:row>17</xdr:row>
      <xdr:rowOff>293688</xdr:rowOff>
    </xdr:to>
    <xdr:pic>
      <xdr:nvPicPr>
        <xdr:cNvPr id="837" name="Picture 836">
          <a:extLst>
            <a:ext uri="{FF2B5EF4-FFF2-40B4-BE49-F238E27FC236}">
              <a16:creationId xmlns:a16="http://schemas.microsoft.com/office/drawing/2014/main" id="{D49AD7B6-7193-A16D-4DB4-730939ABC5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94550" y="5964238"/>
          <a:ext cx="1397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17</xdr:row>
      <xdr:rowOff>39688</xdr:rowOff>
    </xdr:from>
    <xdr:to>
      <xdr:col>135</xdr:col>
      <xdr:colOff>460375</xdr:colOff>
      <xdr:row>17</xdr:row>
      <xdr:rowOff>293688</xdr:rowOff>
    </xdr:to>
    <xdr:pic>
      <xdr:nvPicPr>
        <xdr:cNvPr id="840" name="Picture 839">
          <a:extLst>
            <a:ext uri="{FF2B5EF4-FFF2-40B4-BE49-F238E27FC236}">
              <a16:creationId xmlns:a16="http://schemas.microsoft.com/office/drawing/2014/main" id="{693D79DD-85BE-970E-BB36-94077AC39D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5964238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19</xdr:row>
      <xdr:rowOff>39688</xdr:rowOff>
    </xdr:from>
    <xdr:to>
      <xdr:col>3</xdr:col>
      <xdr:colOff>460375</xdr:colOff>
      <xdr:row>19</xdr:row>
      <xdr:rowOff>293688</xdr:rowOff>
    </xdr:to>
    <xdr:pic>
      <xdr:nvPicPr>
        <xdr:cNvPr id="843" name="Picture 842">
          <a:extLst>
            <a:ext uri="{FF2B5EF4-FFF2-40B4-BE49-F238E27FC236}">
              <a16:creationId xmlns:a16="http://schemas.microsoft.com/office/drawing/2014/main" id="{509D17D2-1CDA-9CD8-05D4-D5402814C3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6630988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19</xdr:row>
      <xdr:rowOff>39688</xdr:rowOff>
    </xdr:from>
    <xdr:to>
      <xdr:col>39</xdr:col>
      <xdr:colOff>460375</xdr:colOff>
      <xdr:row>19</xdr:row>
      <xdr:rowOff>293688</xdr:rowOff>
    </xdr:to>
    <xdr:pic>
      <xdr:nvPicPr>
        <xdr:cNvPr id="846" name="Picture 845">
          <a:extLst>
            <a:ext uri="{FF2B5EF4-FFF2-40B4-BE49-F238E27FC236}">
              <a16:creationId xmlns:a16="http://schemas.microsoft.com/office/drawing/2014/main" id="{F4E6C780-7044-4E6E-0FC1-5687B3C55D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6630988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19</xdr:row>
      <xdr:rowOff>39688</xdr:rowOff>
    </xdr:from>
    <xdr:to>
      <xdr:col>27</xdr:col>
      <xdr:colOff>460375</xdr:colOff>
      <xdr:row>19</xdr:row>
      <xdr:rowOff>293688</xdr:rowOff>
    </xdr:to>
    <xdr:pic>
      <xdr:nvPicPr>
        <xdr:cNvPr id="849" name="Picture 848">
          <a:extLst>
            <a:ext uri="{FF2B5EF4-FFF2-40B4-BE49-F238E27FC236}">
              <a16:creationId xmlns:a16="http://schemas.microsoft.com/office/drawing/2014/main" id="{5D005B0A-4D85-9D69-81EE-10A64DC331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6630988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19</xdr:row>
      <xdr:rowOff>39688</xdr:rowOff>
    </xdr:from>
    <xdr:to>
      <xdr:col>99</xdr:col>
      <xdr:colOff>460375</xdr:colOff>
      <xdr:row>19</xdr:row>
      <xdr:rowOff>293688</xdr:rowOff>
    </xdr:to>
    <xdr:pic>
      <xdr:nvPicPr>
        <xdr:cNvPr id="852" name="Picture 851">
          <a:extLst>
            <a:ext uri="{FF2B5EF4-FFF2-40B4-BE49-F238E27FC236}">
              <a16:creationId xmlns:a16="http://schemas.microsoft.com/office/drawing/2014/main" id="{61B0F436-1DBC-9F18-E249-220B4D218F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6630988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19</xdr:row>
      <xdr:rowOff>39688</xdr:rowOff>
    </xdr:from>
    <xdr:to>
      <xdr:col>51</xdr:col>
      <xdr:colOff>460375</xdr:colOff>
      <xdr:row>19</xdr:row>
      <xdr:rowOff>293688</xdr:rowOff>
    </xdr:to>
    <xdr:pic>
      <xdr:nvPicPr>
        <xdr:cNvPr id="855" name="Picture 854">
          <a:extLst>
            <a:ext uri="{FF2B5EF4-FFF2-40B4-BE49-F238E27FC236}">
              <a16:creationId xmlns:a16="http://schemas.microsoft.com/office/drawing/2014/main" id="{A6BD4A92-0E32-1BC5-AD2D-2CC57B45CD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663098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19</xdr:row>
      <xdr:rowOff>39688</xdr:rowOff>
    </xdr:from>
    <xdr:to>
      <xdr:col>15</xdr:col>
      <xdr:colOff>460375</xdr:colOff>
      <xdr:row>19</xdr:row>
      <xdr:rowOff>293688</xdr:rowOff>
    </xdr:to>
    <xdr:pic>
      <xdr:nvPicPr>
        <xdr:cNvPr id="858" name="Picture 857">
          <a:extLst>
            <a:ext uri="{FF2B5EF4-FFF2-40B4-BE49-F238E27FC236}">
              <a16:creationId xmlns:a16="http://schemas.microsoft.com/office/drawing/2014/main" id="{71373C99-95E8-D180-A80A-1C881DF44D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6630988"/>
          <a:ext cx="254000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19</xdr:row>
      <xdr:rowOff>39688</xdr:rowOff>
    </xdr:from>
    <xdr:to>
      <xdr:col>63</xdr:col>
      <xdr:colOff>460375</xdr:colOff>
      <xdr:row>19</xdr:row>
      <xdr:rowOff>293688</xdr:rowOff>
    </xdr:to>
    <xdr:pic>
      <xdr:nvPicPr>
        <xdr:cNvPr id="861" name="Picture 860">
          <a:extLst>
            <a:ext uri="{FF2B5EF4-FFF2-40B4-BE49-F238E27FC236}">
              <a16:creationId xmlns:a16="http://schemas.microsoft.com/office/drawing/2014/main" id="{4BBEBA42-80FC-1785-07FF-371D64E6EC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6630988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223131</xdr:colOff>
      <xdr:row>19</xdr:row>
      <xdr:rowOff>39688</xdr:rowOff>
    </xdr:from>
    <xdr:to>
      <xdr:col>87</xdr:col>
      <xdr:colOff>443617</xdr:colOff>
      <xdr:row>19</xdr:row>
      <xdr:rowOff>293688</xdr:rowOff>
    </xdr:to>
    <xdr:pic>
      <xdr:nvPicPr>
        <xdr:cNvPr id="864" name="Picture 863">
          <a:extLst>
            <a:ext uri="{FF2B5EF4-FFF2-40B4-BE49-F238E27FC236}">
              <a16:creationId xmlns:a16="http://schemas.microsoft.com/office/drawing/2014/main" id="{3B1D74D4-92B8-2D94-2C9B-CF6E6136DB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10831" y="6630988"/>
          <a:ext cx="220486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19</xdr:row>
      <xdr:rowOff>39688</xdr:rowOff>
    </xdr:from>
    <xdr:to>
      <xdr:col>111</xdr:col>
      <xdr:colOff>460375</xdr:colOff>
      <xdr:row>19</xdr:row>
      <xdr:rowOff>293688</xdr:rowOff>
    </xdr:to>
    <xdr:pic>
      <xdr:nvPicPr>
        <xdr:cNvPr id="867" name="Picture 866">
          <a:extLst>
            <a:ext uri="{FF2B5EF4-FFF2-40B4-BE49-F238E27FC236}">
              <a16:creationId xmlns:a16="http://schemas.microsoft.com/office/drawing/2014/main" id="{C3C3CB54-2281-A666-10B2-5D489DA7E0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6630988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19</xdr:row>
      <xdr:rowOff>39688</xdr:rowOff>
    </xdr:from>
    <xdr:to>
      <xdr:col>147</xdr:col>
      <xdr:colOff>460375</xdr:colOff>
      <xdr:row>19</xdr:row>
      <xdr:rowOff>293688</xdr:rowOff>
    </xdr:to>
    <xdr:pic>
      <xdr:nvPicPr>
        <xdr:cNvPr id="870" name="Picture 869">
          <a:extLst>
            <a:ext uri="{FF2B5EF4-FFF2-40B4-BE49-F238E27FC236}">
              <a16:creationId xmlns:a16="http://schemas.microsoft.com/office/drawing/2014/main" id="{4FD18643-C446-76E4-CC49-962803149D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6630988"/>
          <a:ext cx="254000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19</xdr:row>
      <xdr:rowOff>39688</xdr:rowOff>
    </xdr:from>
    <xdr:to>
      <xdr:col>123</xdr:col>
      <xdr:colOff>460375</xdr:colOff>
      <xdr:row>19</xdr:row>
      <xdr:rowOff>293688</xdr:rowOff>
    </xdr:to>
    <xdr:pic>
      <xdr:nvPicPr>
        <xdr:cNvPr id="873" name="Picture 872">
          <a:extLst>
            <a:ext uri="{FF2B5EF4-FFF2-40B4-BE49-F238E27FC236}">
              <a16:creationId xmlns:a16="http://schemas.microsoft.com/office/drawing/2014/main" id="{4D160688-8E27-0420-6215-77BA72CDB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6630988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230001</xdr:colOff>
      <xdr:row>19</xdr:row>
      <xdr:rowOff>39688</xdr:rowOff>
    </xdr:from>
    <xdr:to>
      <xdr:col>75</xdr:col>
      <xdr:colOff>436745</xdr:colOff>
      <xdr:row>19</xdr:row>
      <xdr:rowOff>293688</xdr:rowOff>
    </xdr:to>
    <xdr:pic>
      <xdr:nvPicPr>
        <xdr:cNvPr id="876" name="Picture 875">
          <a:extLst>
            <a:ext uri="{FF2B5EF4-FFF2-40B4-BE49-F238E27FC236}">
              <a16:creationId xmlns:a16="http://schemas.microsoft.com/office/drawing/2014/main" id="{61107FAC-2028-A369-F3C7-2A9D238106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50126" y="6630988"/>
          <a:ext cx="206744" cy="254000"/>
        </a:xfrm>
        <a:prstGeom prst="rect">
          <a:avLst/>
        </a:prstGeom>
      </xdr:spPr>
    </xdr:pic>
    <xdr:clientData/>
  </xdr:twoCellAnchor>
  <xdr:twoCellAnchor>
    <xdr:from>
      <xdr:col>135</xdr:col>
      <xdr:colOff>181211</xdr:colOff>
      <xdr:row>19</xdr:row>
      <xdr:rowOff>39688</xdr:rowOff>
    </xdr:from>
    <xdr:to>
      <xdr:col>135</xdr:col>
      <xdr:colOff>485543</xdr:colOff>
      <xdr:row>19</xdr:row>
      <xdr:rowOff>293688</xdr:rowOff>
    </xdr:to>
    <xdr:pic>
      <xdr:nvPicPr>
        <xdr:cNvPr id="879" name="Picture 878">
          <a:extLst>
            <a:ext uri="{FF2B5EF4-FFF2-40B4-BE49-F238E27FC236}">
              <a16:creationId xmlns:a16="http://schemas.microsoft.com/office/drawing/2014/main" id="{46E00219-93BD-4734-58A7-2B25853064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39211" y="6630988"/>
          <a:ext cx="304332" cy="254000"/>
        </a:xfrm>
        <a:prstGeom prst="rect">
          <a:avLst/>
        </a:prstGeom>
      </xdr:spPr>
    </xdr:pic>
    <xdr:clientData/>
  </xdr:twoCellAnchor>
  <xdr:twoCellAnchor>
    <xdr:from>
      <xdr:col>207</xdr:col>
      <xdr:colOff>263525</xdr:colOff>
      <xdr:row>19</xdr:row>
      <xdr:rowOff>39688</xdr:rowOff>
    </xdr:from>
    <xdr:to>
      <xdr:col>207</xdr:col>
      <xdr:colOff>403225</xdr:colOff>
      <xdr:row>19</xdr:row>
      <xdr:rowOff>293688</xdr:rowOff>
    </xdr:to>
    <xdr:pic>
      <xdr:nvPicPr>
        <xdr:cNvPr id="882" name="Picture 881">
          <a:extLst>
            <a:ext uri="{FF2B5EF4-FFF2-40B4-BE49-F238E27FC236}">
              <a16:creationId xmlns:a16="http://schemas.microsoft.com/office/drawing/2014/main" id="{E11A8749-3A7C-261A-8A44-2EE3A4BF10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926975" y="6630988"/>
          <a:ext cx="1397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19</xdr:row>
      <xdr:rowOff>39688</xdr:rowOff>
    </xdr:from>
    <xdr:to>
      <xdr:col>159</xdr:col>
      <xdr:colOff>460375</xdr:colOff>
      <xdr:row>19</xdr:row>
      <xdr:rowOff>293688</xdr:rowOff>
    </xdr:to>
    <xdr:pic>
      <xdr:nvPicPr>
        <xdr:cNvPr id="885" name="Picture 884">
          <a:extLst>
            <a:ext uri="{FF2B5EF4-FFF2-40B4-BE49-F238E27FC236}">
              <a16:creationId xmlns:a16="http://schemas.microsoft.com/office/drawing/2014/main" id="{98F31EBE-A74B-3A79-C8C7-7B33E7D2B2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6630988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19</xdr:row>
      <xdr:rowOff>39688</xdr:rowOff>
    </xdr:from>
    <xdr:to>
      <xdr:col>219</xdr:col>
      <xdr:colOff>460375</xdr:colOff>
      <xdr:row>19</xdr:row>
      <xdr:rowOff>293688</xdr:rowOff>
    </xdr:to>
    <xdr:pic>
      <xdr:nvPicPr>
        <xdr:cNvPr id="888" name="Picture 887">
          <a:extLst>
            <a:ext uri="{FF2B5EF4-FFF2-40B4-BE49-F238E27FC236}">
              <a16:creationId xmlns:a16="http://schemas.microsoft.com/office/drawing/2014/main" id="{BB2DDF24-9F7C-7089-82D6-F405349D2E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6630988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19</xdr:row>
      <xdr:rowOff>39688</xdr:rowOff>
    </xdr:from>
    <xdr:to>
      <xdr:col>171</xdr:col>
      <xdr:colOff>460375</xdr:colOff>
      <xdr:row>19</xdr:row>
      <xdr:rowOff>293688</xdr:rowOff>
    </xdr:to>
    <xdr:pic>
      <xdr:nvPicPr>
        <xdr:cNvPr id="891" name="Picture 890">
          <a:extLst>
            <a:ext uri="{FF2B5EF4-FFF2-40B4-BE49-F238E27FC236}">
              <a16:creationId xmlns:a16="http://schemas.microsoft.com/office/drawing/2014/main" id="{E17F247F-6725-50F1-D6AA-D581BED0C8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6630988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19</xdr:row>
      <xdr:rowOff>39688</xdr:rowOff>
    </xdr:from>
    <xdr:to>
      <xdr:col>195</xdr:col>
      <xdr:colOff>460375</xdr:colOff>
      <xdr:row>19</xdr:row>
      <xdr:rowOff>293688</xdr:rowOff>
    </xdr:to>
    <xdr:pic>
      <xdr:nvPicPr>
        <xdr:cNvPr id="894" name="Picture 893">
          <a:extLst>
            <a:ext uri="{FF2B5EF4-FFF2-40B4-BE49-F238E27FC236}">
              <a16:creationId xmlns:a16="http://schemas.microsoft.com/office/drawing/2014/main" id="{D3FAAD8D-9F07-B2B0-8683-6571A22FD0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6630988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19</xdr:row>
      <xdr:rowOff>39688</xdr:rowOff>
    </xdr:from>
    <xdr:to>
      <xdr:col>231</xdr:col>
      <xdr:colOff>460375</xdr:colOff>
      <xdr:row>19</xdr:row>
      <xdr:rowOff>293688</xdr:rowOff>
    </xdr:to>
    <xdr:pic>
      <xdr:nvPicPr>
        <xdr:cNvPr id="897" name="Picture 896">
          <a:extLst>
            <a:ext uri="{FF2B5EF4-FFF2-40B4-BE49-F238E27FC236}">
              <a16:creationId xmlns:a16="http://schemas.microsoft.com/office/drawing/2014/main" id="{CB36DD57-0F98-B85E-5B89-A06B82A411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6630988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19</xdr:row>
      <xdr:rowOff>39688</xdr:rowOff>
    </xdr:from>
    <xdr:to>
      <xdr:col>183</xdr:col>
      <xdr:colOff>460375</xdr:colOff>
      <xdr:row>19</xdr:row>
      <xdr:rowOff>293688</xdr:rowOff>
    </xdr:to>
    <xdr:pic>
      <xdr:nvPicPr>
        <xdr:cNvPr id="900" name="Picture 899">
          <a:extLst>
            <a:ext uri="{FF2B5EF4-FFF2-40B4-BE49-F238E27FC236}">
              <a16:creationId xmlns:a16="http://schemas.microsoft.com/office/drawing/2014/main" id="{17409E28-03E3-6356-E396-5AB448FB1D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663098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20</xdr:row>
      <xdr:rowOff>39688</xdr:rowOff>
    </xdr:from>
    <xdr:to>
      <xdr:col>15</xdr:col>
      <xdr:colOff>460375</xdr:colOff>
      <xdr:row>20</xdr:row>
      <xdr:rowOff>293688</xdr:rowOff>
    </xdr:to>
    <xdr:pic>
      <xdr:nvPicPr>
        <xdr:cNvPr id="903" name="Picture 902">
          <a:extLst>
            <a:ext uri="{FF2B5EF4-FFF2-40B4-BE49-F238E27FC236}">
              <a16:creationId xmlns:a16="http://schemas.microsoft.com/office/drawing/2014/main" id="{785F00F2-D11F-36EF-33C7-4CA4F1D5C7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696436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20</xdr:row>
      <xdr:rowOff>39688</xdr:rowOff>
    </xdr:from>
    <xdr:to>
      <xdr:col>3</xdr:col>
      <xdr:colOff>460375</xdr:colOff>
      <xdr:row>20</xdr:row>
      <xdr:rowOff>293688</xdr:rowOff>
    </xdr:to>
    <xdr:pic>
      <xdr:nvPicPr>
        <xdr:cNvPr id="906" name="Picture 905">
          <a:extLst>
            <a:ext uri="{FF2B5EF4-FFF2-40B4-BE49-F238E27FC236}">
              <a16:creationId xmlns:a16="http://schemas.microsoft.com/office/drawing/2014/main" id="{CF5D6CA7-6D86-62BF-4762-DE672CE86A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6964363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20</xdr:row>
      <xdr:rowOff>39688</xdr:rowOff>
    </xdr:from>
    <xdr:to>
      <xdr:col>27</xdr:col>
      <xdr:colOff>460375</xdr:colOff>
      <xdr:row>20</xdr:row>
      <xdr:rowOff>293688</xdr:rowOff>
    </xdr:to>
    <xdr:pic>
      <xdr:nvPicPr>
        <xdr:cNvPr id="909" name="Picture 908">
          <a:extLst>
            <a:ext uri="{FF2B5EF4-FFF2-40B4-BE49-F238E27FC236}">
              <a16:creationId xmlns:a16="http://schemas.microsoft.com/office/drawing/2014/main" id="{0AA59778-5372-8CAD-909A-0542DE5494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6964363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20</xdr:row>
      <xdr:rowOff>39688</xdr:rowOff>
    </xdr:from>
    <xdr:to>
      <xdr:col>75</xdr:col>
      <xdr:colOff>460375</xdr:colOff>
      <xdr:row>20</xdr:row>
      <xdr:rowOff>293688</xdr:rowOff>
    </xdr:to>
    <xdr:pic>
      <xdr:nvPicPr>
        <xdr:cNvPr id="912" name="Picture 911">
          <a:extLst>
            <a:ext uri="{FF2B5EF4-FFF2-40B4-BE49-F238E27FC236}">
              <a16:creationId xmlns:a16="http://schemas.microsoft.com/office/drawing/2014/main" id="{6FE7D26F-DA91-D7A2-C61A-53D4AFE734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6964363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20</xdr:row>
      <xdr:rowOff>39688</xdr:rowOff>
    </xdr:from>
    <xdr:to>
      <xdr:col>51</xdr:col>
      <xdr:colOff>460375</xdr:colOff>
      <xdr:row>20</xdr:row>
      <xdr:rowOff>293688</xdr:rowOff>
    </xdr:to>
    <xdr:pic>
      <xdr:nvPicPr>
        <xdr:cNvPr id="915" name="Picture 914">
          <a:extLst>
            <a:ext uri="{FF2B5EF4-FFF2-40B4-BE49-F238E27FC236}">
              <a16:creationId xmlns:a16="http://schemas.microsoft.com/office/drawing/2014/main" id="{0ECDC67D-A1BA-89A8-CDFB-1886F0819F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6964363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20</xdr:row>
      <xdr:rowOff>39688</xdr:rowOff>
    </xdr:from>
    <xdr:to>
      <xdr:col>219</xdr:col>
      <xdr:colOff>460375</xdr:colOff>
      <xdr:row>20</xdr:row>
      <xdr:rowOff>293688</xdr:rowOff>
    </xdr:to>
    <xdr:pic>
      <xdr:nvPicPr>
        <xdr:cNvPr id="918" name="Picture 917">
          <a:extLst>
            <a:ext uri="{FF2B5EF4-FFF2-40B4-BE49-F238E27FC236}">
              <a16:creationId xmlns:a16="http://schemas.microsoft.com/office/drawing/2014/main" id="{0CB9C536-224F-A345-BF51-937E337AD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6964363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20</xdr:row>
      <xdr:rowOff>39688</xdr:rowOff>
    </xdr:from>
    <xdr:to>
      <xdr:col>99</xdr:col>
      <xdr:colOff>460375</xdr:colOff>
      <xdr:row>20</xdr:row>
      <xdr:rowOff>293688</xdr:rowOff>
    </xdr:to>
    <xdr:pic>
      <xdr:nvPicPr>
        <xdr:cNvPr id="921" name="Picture 920">
          <a:extLst>
            <a:ext uri="{FF2B5EF4-FFF2-40B4-BE49-F238E27FC236}">
              <a16:creationId xmlns:a16="http://schemas.microsoft.com/office/drawing/2014/main" id="{3550CC95-5894-CFAE-2E73-FD5D3CBFF7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6964363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20</xdr:row>
      <xdr:rowOff>39688</xdr:rowOff>
    </xdr:from>
    <xdr:to>
      <xdr:col>183</xdr:col>
      <xdr:colOff>460375</xdr:colOff>
      <xdr:row>20</xdr:row>
      <xdr:rowOff>293688</xdr:rowOff>
    </xdr:to>
    <xdr:pic>
      <xdr:nvPicPr>
        <xdr:cNvPr id="924" name="Picture 923">
          <a:extLst>
            <a:ext uri="{FF2B5EF4-FFF2-40B4-BE49-F238E27FC236}">
              <a16:creationId xmlns:a16="http://schemas.microsoft.com/office/drawing/2014/main" id="{7FDFFFE1-1BAB-F583-59DE-929B142521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6964363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20</xdr:row>
      <xdr:rowOff>39688</xdr:rowOff>
    </xdr:from>
    <xdr:to>
      <xdr:col>111</xdr:col>
      <xdr:colOff>460375</xdr:colOff>
      <xdr:row>20</xdr:row>
      <xdr:rowOff>293688</xdr:rowOff>
    </xdr:to>
    <xdr:pic>
      <xdr:nvPicPr>
        <xdr:cNvPr id="927" name="Picture 926">
          <a:extLst>
            <a:ext uri="{FF2B5EF4-FFF2-40B4-BE49-F238E27FC236}">
              <a16:creationId xmlns:a16="http://schemas.microsoft.com/office/drawing/2014/main" id="{191D94A0-0A55-2B19-8110-E73BFA36B1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6964363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20</xdr:row>
      <xdr:rowOff>39688</xdr:rowOff>
    </xdr:from>
    <xdr:to>
      <xdr:col>87</xdr:col>
      <xdr:colOff>460375</xdr:colOff>
      <xdr:row>20</xdr:row>
      <xdr:rowOff>293688</xdr:rowOff>
    </xdr:to>
    <xdr:pic>
      <xdr:nvPicPr>
        <xdr:cNvPr id="930" name="Picture 929">
          <a:extLst>
            <a:ext uri="{FF2B5EF4-FFF2-40B4-BE49-F238E27FC236}">
              <a16:creationId xmlns:a16="http://schemas.microsoft.com/office/drawing/2014/main" id="{E97E98BD-81F1-A7B9-16CF-0B0FE1AE25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6964363"/>
          <a:ext cx="254000" cy="254000"/>
        </a:xfrm>
        <a:prstGeom prst="rect">
          <a:avLst/>
        </a:prstGeom>
      </xdr:spPr>
    </xdr:pic>
    <xdr:clientData/>
  </xdr:twoCellAnchor>
  <xdr:twoCellAnchor>
    <xdr:from>
      <xdr:col>123</xdr:col>
      <xdr:colOff>263525</xdr:colOff>
      <xdr:row>20</xdr:row>
      <xdr:rowOff>39688</xdr:rowOff>
    </xdr:from>
    <xdr:to>
      <xdr:col>123</xdr:col>
      <xdr:colOff>403225</xdr:colOff>
      <xdr:row>20</xdr:row>
      <xdr:rowOff>293688</xdr:rowOff>
    </xdr:to>
    <xdr:pic>
      <xdr:nvPicPr>
        <xdr:cNvPr id="933" name="Picture 932">
          <a:extLst>
            <a:ext uri="{FF2B5EF4-FFF2-40B4-BE49-F238E27FC236}">
              <a16:creationId xmlns:a16="http://schemas.microsoft.com/office/drawing/2014/main" id="{F7960039-7C63-7B86-FC3C-5A711D407E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053950" y="6964363"/>
          <a:ext cx="139700" cy="254000"/>
        </a:xfrm>
        <a:prstGeom prst="rect">
          <a:avLst/>
        </a:prstGeom>
      </xdr:spPr>
    </xdr:pic>
    <xdr:clientData/>
  </xdr:twoCellAnchor>
  <xdr:twoCellAnchor>
    <xdr:from>
      <xdr:col>135</xdr:col>
      <xdr:colOff>230001</xdr:colOff>
      <xdr:row>20</xdr:row>
      <xdr:rowOff>39688</xdr:rowOff>
    </xdr:from>
    <xdr:to>
      <xdr:col>135</xdr:col>
      <xdr:colOff>436745</xdr:colOff>
      <xdr:row>20</xdr:row>
      <xdr:rowOff>293688</xdr:rowOff>
    </xdr:to>
    <xdr:pic>
      <xdr:nvPicPr>
        <xdr:cNvPr id="936" name="Picture 935">
          <a:extLst>
            <a:ext uri="{FF2B5EF4-FFF2-40B4-BE49-F238E27FC236}">
              <a16:creationId xmlns:a16="http://schemas.microsoft.com/office/drawing/2014/main" id="{7372BCF8-52E2-4104-D28C-DB6B4D0EAF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88001" y="6964363"/>
          <a:ext cx="206744" cy="254000"/>
        </a:xfrm>
        <a:prstGeom prst="rect">
          <a:avLst/>
        </a:prstGeom>
      </xdr:spPr>
    </xdr:pic>
    <xdr:clientData/>
  </xdr:twoCellAnchor>
  <xdr:twoCellAnchor>
    <xdr:from>
      <xdr:col>147</xdr:col>
      <xdr:colOff>181211</xdr:colOff>
      <xdr:row>20</xdr:row>
      <xdr:rowOff>39688</xdr:rowOff>
    </xdr:from>
    <xdr:to>
      <xdr:col>147</xdr:col>
      <xdr:colOff>485543</xdr:colOff>
      <xdr:row>20</xdr:row>
      <xdr:rowOff>293688</xdr:rowOff>
    </xdr:to>
    <xdr:pic>
      <xdr:nvPicPr>
        <xdr:cNvPr id="939" name="Picture 938">
          <a:extLst>
            <a:ext uri="{FF2B5EF4-FFF2-40B4-BE49-F238E27FC236}">
              <a16:creationId xmlns:a16="http://schemas.microsoft.com/office/drawing/2014/main" id="{9F8F19F9-BF35-C174-C329-827F24F3DB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06786" y="6964363"/>
          <a:ext cx="304332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20</xdr:row>
      <xdr:rowOff>39688</xdr:rowOff>
    </xdr:from>
    <xdr:to>
      <xdr:col>207</xdr:col>
      <xdr:colOff>460375</xdr:colOff>
      <xdr:row>20</xdr:row>
      <xdr:rowOff>293688</xdr:rowOff>
    </xdr:to>
    <xdr:pic>
      <xdr:nvPicPr>
        <xdr:cNvPr id="942" name="Picture 941">
          <a:extLst>
            <a:ext uri="{FF2B5EF4-FFF2-40B4-BE49-F238E27FC236}">
              <a16:creationId xmlns:a16="http://schemas.microsoft.com/office/drawing/2014/main" id="{C41D3621-B33A-A511-2A55-E70BB84CA1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6964363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223131</xdr:colOff>
      <xdr:row>20</xdr:row>
      <xdr:rowOff>39688</xdr:rowOff>
    </xdr:from>
    <xdr:to>
      <xdr:col>171</xdr:col>
      <xdr:colOff>443617</xdr:colOff>
      <xdr:row>20</xdr:row>
      <xdr:rowOff>293688</xdr:rowOff>
    </xdr:to>
    <xdr:pic>
      <xdr:nvPicPr>
        <xdr:cNvPr id="945" name="Picture 944">
          <a:extLst>
            <a:ext uri="{FF2B5EF4-FFF2-40B4-BE49-F238E27FC236}">
              <a16:creationId xmlns:a16="http://schemas.microsoft.com/office/drawing/2014/main" id="{21D7D6B5-A0ED-BB57-708D-A64FD4B05F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83856" y="6964363"/>
          <a:ext cx="220486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20</xdr:row>
      <xdr:rowOff>39688</xdr:rowOff>
    </xdr:from>
    <xdr:to>
      <xdr:col>63</xdr:col>
      <xdr:colOff>460375</xdr:colOff>
      <xdr:row>20</xdr:row>
      <xdr:rowOff>293688</xdr:rowOff>
    </xdr:to>
    <xdr:pic>
      <xdr:nvPicPr>
        <xdr:cNvPr id="948" name="Picture 947">
          <a:extLst>
            <a:ext uri="{FF2B5EF4-FFF2-40B4-BE49-F238E27FC236}">
              <a16:creationId xmlns:a16="http://schemas.microsoft.com/office/drawing/2014/main" id="{634F3CFC-8B96-2DF8-0BD0-767472B50C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6964363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20</xdr:row>
      <xdr:rowOff>39688</xdr:rowOff>
    </xdr:from>
    <xdr:to>
      <xdr:col>195</xdr:col>
      <xdr:colOff>460375</xdr:colOff>
      <xdr:row>20</xdr:row>
      <xdr:rowOff>293688</xdr:rowOff>
    </xdr:to>
    <xdr:pic>
      <xdr:nvPicPr>
        <xdr:cNvPr id="951" name="Picture 950">
          <a:extLst>
            <a:ext uri="{FF2B5EF4-FFF2-40B4-BE49-F238E27FC236}">
              <a16:creationId xmlns:a16="http://schemas.microsoft.com/office/drawing/2014/main" id="{6184E819-2AD9-D6B5-7B65-4CA22B20E7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6964363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20</xdr:row>
      <xdr:rowOff>39688</xdr:rowOff>
    </xdr:from>
    <xdr:to>
      <xdr:col>39</xdr:col>
      <xdr:colOff>460375</xdr:colOff>
      <xdr:row>20</xdr:row>
      <xdr:rowOff>293688</xdr:rowOff>
    </xdr:to>
    <xdr:pic>
      <xdr:nvPicPr>
        <xdr:cNvPr id="954" name="Picture 953">
          <a:extLst>
            <a:ext uri="{FF2B5EF4-FFF2-40B4-BE49-F238E27FC236}">
              <a16:creationId xmlns:a16="http://schemas.microsoft.com/office/drawing/2014/main" id="{A6A5CBFB-A42F-808F-9472-044A32136E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6964363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20</xdr:row>
      <xdr:rowOff>39688</xdr:rowOff>
    </xdr:from>
    <xdr:to>
      <xdr:col>231</xdr:col>
      <xdr:colOff>460375</xdr:colOff>
      <xdr:row>20</xdr:row>
      <xdr:rowOff>293688</xdr:rowOff>
    </xdr:to>
    <xdr:pic>
      <xdr:nvPicPr>
        <xdr:cNvPr id="957" name="Picture 956">
          <a:extLst>
            <a:ext uri="{FF2B5EF4-FFF2-40B4-BE49-F238E27FC236}">
              <a16:creationId xmlns:a16="http://schemas.microsoft.com/office/drawing/2014/main" id="{2970A0F7-FB4A-6F19-FFC4-02CEF3BDF8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6964363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20</xdr:row>
      <xdr:rowOff>39688</xdr:rowOff>
    </xdr:from>
    <xdr:to>
      <xdr:col>159</xdr:col>
      <xdr:colOff>460375</xdr:colOff>
      <xdr:row>20</xdr:row>
      <xdr:rowOff>293688</xdr:rowOff>
    </xdr:to>
    <xdr:pic>
      <xdr:nvPicPr>
        <xdr:cNvPr id="960" name="Picture 959">
          <a:extLst>
            <a:ext uri="{FF2B5EF4-FFF2-40B4-BE49-F238E27FC236}">
              <a16:creationId xmlns:a16="http://schemas.microsoft.com/office/drawing/2014/main" id="{F711CF71-7A2B-6185-E8EA-03CD722A1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696436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21</xdr:row>
      <xdr:rowOff>39688</xdr:rowOff>
    </xdr:from>
    <xdr:to>
      <xdr:col>3</xdr:col>
      <xdr:colOff>460375</xdr:colOff>
      <xdr:row>21</xdr:row>
      <xdr:rowOff>293688</xdr:rowOff>
    </xdr:to>
    <xdr:pic>
      <xdr:nvPicPr>
        <xdr:cNvPr id="963" name="Picture 962">
          <a:extLst>
            <a:ext uri="{FF2B5EF4-FFF2-40B4-BE49-F238E27FC236}">
              <a16:creationId xmlns:a16="http://schemas.microsoft.com/office/drawing/2014/main" id="{41966910-B220-6052-4AAF-F204D4FC4F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7297738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21</xdr:row>
      <xdr:rowOff>39688</xdr:rowOff>
    </xdr:from>
    <xdr:to>
      <xdr:col>231</xdr:col>
      <xdr:colOff>460375</xdr:colOff>
      <xdr:row>21</xdr:row>
      <xdr:rowOff>293688</xdr:rowOff>
    </xdr:to>
    <xdr:pic>
      <xdr:nvPicPr>
        <xdr:cNvPr id="966" name="Picture 965">
          <a:extLst>
            <a:ext uri="{FF2B5EF4-FFF2-40B4-BE49-F238E27FC236}">
              <a16:creationId xmlns:a16="http://schemas.microsoft.com/office/drawing/2014/main" id="{D540B856-3053-1E47-0F8A-0C641F1A6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7297738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230003</xdr:colOff>
      <xdr:row>21</xdr:row>
      <xdr:rowOff>39688</xdr:rowOff>
    </xdr:from>
    <xdr:to>
      <xdr:col>39</xdr:col>
      <xdr:colOff>436747</xdr:colOff>
      <xdr:row>21</xdr:row>
      <xdr:rowOff>293688</xdr:rowOff>
    </xdr:to>
    <xdr:pic>
      <xdr:nvPicPr>
        <xdr:cNvPr id="969" name="Picture 968">
          <a:extLst>
            <a:ext uri="{FF2B5EF4-FFF2-40B4-BE49-F238E27FC236}">
              <a16:creationId xmlns:a16="http://schemas.microsoft.com/office/drawing/2014/main" id="{CDF76657-A4AC-1E6B-0244-7F9DE862A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28353" y="7297738"/>
          <a:ext cx="206744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21</xdr:row>
      <xdr:rowOff>39688</xdr:rowOff>
    </xdr:from>
    <xdr:to>
      <xdr:col>123</xdr:col>
      <xdr:colOff>460375</xdr:colOff>
      <xdr:row>21</xdr:row>
      <xdr:rowOff>293688</xdr:rowOff>
    </xdr:to>
    <xdr:pic>
      <xdr:nvPicPr>
        <xdr:cNvPr id="972" name="Picture 971">
          <a:extLst>
            <a:ext uri="{FF2B5EF4-FFF2-40B4-BE49-F238E27FC236}">
              <a16:creationId xmlns:a16="http://schemas.microsoft.com/office/drawing/2014/main" id="{82051B41-19CF-A1E8-42FA-1E5539F33C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7297738"/>
          <a:ext cx="254000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21</xdr:row>
      <xdr:rowOff>39688</xdr:rowOff>
    </xdr:from>
    <xdr:to>
      <xdr:col>63</xdr:col>
      <xdr:colOff>460375</xdr:colOff>
      <xdr:row>21</xdr:row>
      <xdr:rowOff>293688</xdr:rowOff>
    </xdr:to>
    <xdr:pic>
      <xdr:nvPicPr>
        <xdr:cNvPr id="975" name="Picture 974">
          <a:extLst>
            <a:ext uri="{FF2B5EF4-FFF2-40B4-BE49-F238E27FC236}">
              <a16:creationId xmlns:a16="http://schemas.microsoft.com/office/drawing/2014/main" id="{9E162EFC-B475-4281-5499-58880C4F6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7297738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223131</xdr:colOff>
      <xdr:row>21</xdr:row>
      <xdr:rowOff>39688</xdr:rowOff>
    </xdr:from>
    <xdr:to>
      <xdr:col>111</xdr:col>
      <xdr:colOff>443617</xdr:colOff>
      <xdr:row>21</xdr:row>
      <xdr:rowOff>293688</xdr:rowOff>
    </xdr:to>
    <xdr:pic>
      <xdr:nvPicPr>
        <xdr:cNvPr id="978" name="Picture 977">
          <a:extLst>
            <a:ext uri="{FF2B5EF4-FFF2-40B4-BE49-F238E27FC236}">
              <a16:creationId xmlns:a16="http://schemas.microsoft.com/office/drawing/2014/main" id="{6B191E18-FB5D-6B51-F722-4E7FA9158A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45981" y="7297738"/>
          <a:ext cx="220486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21</xdr:row>
      <xdr:rowOff>39688</xdr:rowOff>
    </xdr:from>
    <xdr:to>
      <xdr:col>75</xdr:col>
      <xdr:colOff>460375</xdr:colOff>
      <xdr:row>21</xdr:row>
      <xdr:rowOff>293688</xdr:rowOff>
    </xdr:to>
    <xdr:pic>
      <xdr:nvPicPr>
        <xdr:cNvPr id="981" name="Picture 980">
          <a:extLst>
            <a:ext uri="{FF2B5EF4-FFF2-40B4-BE49-F238E27FC236}">
              <a16:creationId xmlns:a16="http://schemas.microsoft.com/office/drawing/2014/main" id="{52D981BD-B13B-5E43-D498-05DD7F2E10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7297738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21</xdr:row>
      <xdr:rowOff>39688</xdr:rowOff>
    </xdr:from>
    <xdr:to>
      <xdr:col>99</xdr:col>
      <xdr:colOff>460375</xdr:colOff>
      <xdr:row>21</xdr:row>
      <xdr:rowOff>293688</xdr:rowOff>
    </xdr:to>
    <xdr:pic>
      <xdr:nvPicPr>
        <xdr:cNvPr id="984" name="Picture 983">
          <a:extLst>
            <a:ext uri="{FF2B5EF4-FFF2-40B4-BE49-F238E27FC236}">
              <a16:creationId xmlns:a16="http://schemas.microsoft.com/office/drawing/2014/main" id="{3EE9F2F9-2E5B-A530-3A08-0EE38C45E6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7297738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21</xdr:row>
      <xdr:rowOff>39688</xdr:rowOff>
    </xdr:from>
    <xdr:to>
      <xdr:col>87</xdr:col>
      <xdr:colOff>460375</xdr:colOff>
      <xdr:row>21</xdr:row>
      <xdr:rowOff>293688</xdr:rowOff>
    </xdr:to>
    <xdr:pic>
      <xdr:nvPicPr>
        <xdr:cNvPr id="987" name="Picture 986">
          <a:extLst>
            <a:ext uri="{FF2B5EF4-FFF2-40B4-BE49-F238E27FC236}">
              <a16:creationId xmlns:a16="http://schemas.microsoft.com/office/drawing/2014/main" id="{81FAB35A-575B-5900-4D2C-C342E7BA72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7297738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21</xdr:row>
      <xdr:rowOff>39688</xdr:rowOff>
    </xdr:from>
    <xdr:to>
      <xdr:col>147</xdr:col>
      <xdr:colOff>460375</xdr:colOff>
      <xdr:row>21</xdr:row>
      <xdr:rowOff>293688</xdr:rowOff>
    </xdr:to>
    <xdr:pic>
      <xdr:nvPicPr>
        <xdr:cNvPr id="990" name="Picture 989">
          <a:extLst>
            <a:ext uri="{FF2B5EF4-FFF2-40B4-BE49-F238E27FC236}">
              <a16:creationId xmlns:a16="http://schemas.microsoft.com/office/drawing/2014/main" id="{C7CB2530-4D46-3520-F316-8A8952E600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7297738"/>
          <a:ext cx="2540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21</xdr:row>
      <xdr:rowOff>39688</xdr:rowOff>
    </xdr:from>
    <xdr:to>
      <xdr:col>135</xdr:col>
      <xdr:colOff>460375</xdr:colOff>
      <xdr:row>21</xdr:row>
      <xdr:rowOff>293688</xdr:rowOff>
    </xdr:to>
    <xdr:pic>
      <xdr:nvPicPr>
        <xdr:cNvPr id="993" name="Picture 992">
          <a:extLst>
            <a:ext uri="{FF2B5EF4-FFF2-40B4-BE49-F238E27FC236}">
              <a16:creationId xmlns:a16="http://schemas.microsoft.com/office/drawing/2014/main" id="{123E0087-FB90-8C08-3AB9-AE856ACADC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7297738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263525</xdr:colOff>
      <xdr:row>21</xdr:row>
      <xdr:rowOff>39688</xdr:rowOff>
    </xdr:from>
    <xdr:to>
      <xdr:col>51</xdr:col>
      <xdr:colOff>403225</xdr:colOff>
      <xdr:row>21</xdr:row>
      <xdr:rowOff>293688</xdr:rowOff>
    </xdr:to>
    <xdr:pic>
      <xdr:nvPicPr>
        <xdr:cNvPr id="996" name="Picture 995">
          <a:extLst>
            <a:ext uri="{FF2B5EF4-FFF2-40B4-BE49-F238E27FC236}">
              <a16:creationId xmlns:a16="http://schemas.microsoft.com/office/drawing/2014/main" id="{EA708A43-34FD-1008-CCCA-9EE7D38690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438975" y="7297738"/>
          <a:ext cx="1397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21</xdr:row>
      <xdr:rowOff>39688</xdr:rowOff>
    </xdr:from>
    <xdr:to>
      <xdr:col>159</xdr:col>
      <xdr:colOff>460375</xdr:colOff>
      <xdr:row>21</xdr:row>
      <xdr:rowOff>293688</xdr:rowOff>
    </xdr:to>
    <xdr:pic>
      <xdr:nvPicPr>
        <xdr:cNvPr id="999" name="Picture 998">
          <a:extLst>
            <a:ext uri="{FF2B5EF4-FFF2-40B4-BE49-F238E27FC236}">
              <a16:creationId xmlns:a16="http://schemas.microsoft.com/office/drawing/2014/main" id="{B500D601-3766-2C20-4751-A3A25BFAB7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7297738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21</xdr:row>
      <xdr:rowOff>39688</xdr:rowOff>
    </xdr:from>
    <xdr:to>
      <xdr:col>27</xdr:col>
      <xdr:colOff>460375</xdr:colOff>
      <xdr:row>21</xdr:row>
      <xdr:rowOff>293688</xdr:rowOff>
    </xdr:to>
    <xdr:pic>
      <xdr:nvPicPr>
        <xdr:cNvPr id="1002" name="Picture 1001">
          <a:extLst>
            <a:ext uri="{FF2B5EF4-FFF2-40B4-BE49-F238E27FC236}">
              <a16:creationId xmlns:a16="http://schemas.microsoft.com/office/drawing/2014/main" id="{4BBE09A5-6B85-7E70-8EDC-5961C88589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7297738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21</xdr:row>
      <xdr:rowOff>39688</xdr:rowOff>
    </xdr:from>
    <xdr:to>
      <xdr:col>183</xdr:col>
      <xdr:colOff>460375</xdr:colOff>
      <xdr:row>21</xdr:row>
      <xdr:rowOff>293688</xdr:rowOff>
    </xdr:to>
    <xdr:pic>
      <xdr:nvPicPr>
        <xdr:cNvPr id="1005" name="Picture 1004">
          <a:extLst>
            <a:ext uri="{FF2B5EF4-FFF2-40B4-BE49-F238E27FC236}">
              <a16:creationId xmlns:a16="http://schemas.microsoft.com/office/drawing/2014/main" id="{01A18F2B-2378-1844-E5F9-27673D0327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7297738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21</xdr:row>
      <xdr:rowOff>39688</xdr:rowOff>
    </xdr:from>
    <xdr:to>
      <xdr:col>195</xdr:col>
      <xdr:colOff>460375</xdr:colOff>
      <xdr:row>21</xdr:row>
      <xdr:rowOff>293688</xdr:rowOff>
    </xdr:to>
    <xdr:pic>
      <xdr:nvPicPr>
        <xdr:cNvPr id="1008" name="Picture 1007">
          <a:extLst>
            <a:ext uri="{FF2B5EF4-FFF2-40B4-BE49-F238E27FC236}">
              <a16:creationId xmlns:a16="http://schemas.microsoft.com/office/drawing/2014/main" id="{62015FC1-DA5A-25CB-D5F6-164BDB1F7C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7297738"/>
          <a:ext cx="254000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21</xdr:row>
      <xdr:rowOff>39688</xdr:rowOff>
    </xdr:from>
    <xdr:to>
      <xdr:col>207</xdr:col>
      <xdr:colOff>460375</xdr:colOff>
      <xdr:row>21</xdr:row>
      <xdr:rowOff>293688</xdr:rowOff>
    </xdr:to>
    <xdr:pic>
      <xdr:nvPicPr>
        <xdr:cNvPr id="1011" name="Picture 1010">
          <a:extLst>
            <a:ext uri="{FF2B5EF4-FFF2-40B4-BE49-F238E27FC236}">
              <a16:creationId xmlns:a16="http://schemas.microsoft.com/office/drawing/2014/main" id="{5EB145B2-2C2B-0D7E-86EC-16B257D713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7297738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181211</xdr:colOff>
      <xdr:row>21</xdr:row>
      <xdr:rowOff>39688</xdr:rowOff>
    </xdr:from>
    <xdr:to>
      <xdr:col>171</xdr:col>
      <xdr:colOff>485543</xdr:colOff>
      <xdr:row>21</xdr:row>
      <xdr:rowOff>293688</xdr:rowOff>
    </xdr:to>
    <xdr:pic>
      <xdr:nvPicPr>
        <xdr:cNvPr id="1014" name="Picture 1013">
          <a:extLst>
            <a:ext uri="{FF2B5EF4-FFF2-40B4-BE49-F238E27FC236}">
              <a16:creationId xmlns:a16="http://schemas.microsoft.com/office/drawing/2014/main" id="{7B4533DC-8284-DFA3-D1D0-640D462F95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41936" y="7297738"/>
          <a:ext cx="304332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21</xdr:row>
      <xdr:rowOff>39688</xdr:rowOff>
    </xdr:from>
    <xdr:to>
      <xdr:col>219</xdr:col>
      <xdr:colOff>460375</xdr:colOff>
      <xdr:row>21</xdr:row>
      <xdr:rowOff>293688</xdr:rowOff>
    </xdr:to>
    <xdr:pic>
      <xdr:nvPicPr>
        <xdr:cNvPr id="1017" name="Picture 1016">
          <a:extLst>
            <a:ext uri="{FF2B5EF4-FFF2-40B4-BE49-F238E27FC236}">
              <a16:creationId xmlns:a16="http://schemas.microsoft.com/office/drawing/2014/main" id="{E0731709-7F73-6DAD-AC4F-A7BC88AEE3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729773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21</xdr:row>
      <xdr:rowOff>39688</xdr:rowOff>
    </xdr:from>
    <xdr:to>
      <xdr:col>15</xdr:col>
      <xdr:colOff>460375</xdr:colOff>
      <xdr:row>21</xdr:row>
      <xdr:rowOff>293688</xdr:rowOff>
    </xdr:to>
    <xdr:pic>
      <xdr:nvPicPr>
        <xdr:cNvPr id="1020" name="Picture 1019">
          <a:extLst>
            <a:ext uri="{FF2B5EF4-FFF2-40B4-BE49-F238E27FC236}">
              <a16:creationId xmlns:a16="http://schemas.microsoft.com/office/drawing/2014/main" id="{4F3860C3-FE78-1091-87B2-90C2CD5251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729773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22</xdr:row>
      <xdr:rowOff>39688</xdr:rowOff>
    </xdr:from>
    <xdr:to>
      <xdr:col>15</xdr:col>
      <xdr:colOff>460375</xdr:colOff>
      <xdr:row>22</xdr:row>
      <xdr:rowOff>293688</xdr:rowOff>
    </xdr:to>
    <xdr:pic>
      <xdr:nvPicPr>
        <xdr:cNvPr id="1023" name="Picture 1022">
          <a:extLst>
            <a:ext uri="{FF2B5EF4-FFF2-40B4-BE49-F238E27FC236}">
              <a16:creationId xmlns:a16="http://schemas.microsoft.com/office/drawing/2014/main" id="{94E7C2D8-F9C7-F241-C284-66E4E05B7D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7631113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22</xdr:row>
      <xdr:rowOff>39688</xdr:rowOff>
    </xdr:from>
    <xdr:to>
      <xdr:col>159</xdr:col>
      <xdr:colOff>460375</xdr:colOff>
      <xdr:row>22</xdr:row>
      <xdr:rowOff>293688</xdr:rowOff>
    </xdr:to>
    <xdr:pic>
      <xdr:nvPicPr>
        <xdr:cNvPr id="1026" name="Picture 1025">
          <a:extLst>
            <a:ext uri="{FF2B5EF4-FFF2-40B4-BE49-F238E27FC236}">
              <a16:creationId xmlns:a16="http://schemas.microsoft.com/office/drawing/2014/main" id="{100CC741-7AFC-914E-C988-709B118DC1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7631113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223132</xdr:colOff>
      <xdr:row>22</xdr:row>
      <xdr:rowOff>39688</xdr:rowOff>
    </xdr:from>
    <xdr:to>
      <xdr:col>27</xdr:col>
      <xdr:colOff>443618</xdr:colOff>
      <xdr:row>22</xdr:row>
      <xdr:rowOff>293688</xdr:rowOff>
    </xdr:to>
    <xdr:pic>
      <xdr:nvPicPr>
        <xdr:cNvPr id="1029" name="Picture 1028">
          <a:extLst>
            <a:ext uri="{FF2B5EF4-FFF2-40B4-BE49-F238E27FC236}">
              <a16:creationId xmlns:a16="http://schemas.microsoft.com/office/drawing/2014/main" id="{F64BD1F6-04B4-C792-8E71-B8C3D30641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63432" y="7631113"/>
          <a:ext cx="220486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22</xdr:row>
      <xdr:rowOff>39688</xdr:rowOff>
    </xdr:from>
    <xdr:to>
      <xdr:col>63</xdr:col>
      <xdr:colOff>460375</xdr:colOff>
      <xdr:row>22</xdr:row>
      <xdr:rowOff>293688</xdr:rowOff>
    </xdr:to>
    <xdr:pic>
      <xdr:nvPicPr>
        <xdr:cNvPr id="1032" name="Picture 1031">
          <a:extLst>
            <a:ext uri="{FF2B5EF4-FFF2-40B4-BE49-F238E27FC236}">
              <a16:creationId xmlns:a16="http://schemas.microsoft.com/office/drawing/2014/main" id="{D6A4DF0C-BF73-9C8C-AA87-159675A73E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7631113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181208</xdr:colOff>
      <xdr:row>22</xdr:row>
      <xdr:rowOff>39688</xdr:rowOff>
    </xdr:from>
    <xdr:to>
      <xdr:col>51</xdr:col>
      <xdr:colOff>485540</xdr:colOff>
      <xdr:row>22</xdr:row>
      <xdr:rowOff>293688</xdr:rowOff>
    </xdr:to>
    <xdr:pic>
      <xdr:nvPicPr>
        <xdr:cNvPr id="1035" name="Picture 1034">
          <a:extLst>
            <a:ext uri="{FF2B5EF4-FFF2-40B4-BE49-F238E27FC236}">
              <a16:creationId xmlns:a16="http://schemas.microsoft.com/office/drawing/2014/main" id="{1EB3505C-9F93-87AD-1D7B-8A6F943A96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56658" y="7631113"/>
          <a:ext cx="304332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22</xdr:row>
      <xdr:rowOff>39688</xdr:rowOff>
    </xdr:from>
    <xdr:to>
      <xdr:col>207</xdr:col>
      <xdr:colOff>460375</xdr:colOff>
      <xdr:row>22</xdr:row>
      <xdr:rowOff>293688</xdr:rowOff>
    </xdr:to>
    <xdr:pic>
      <xdr:nvPicPr>
        <xdr:cNvPr id="1038" name="Picture 1037">
          <a:extLst>
            <a:ext uri="{FF2B5EF4-FFF2-40B4-BE49-F238E27FC236}">
              <a16:creationId xmlns:a16="http://schemas.microsoft.com/office/drawing/2014/main" id="{A8250D0C-F222-D76D-4F28-B1D3A186D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7631113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22</xdr:row>
      <xdr:rowOff>39688</xdr:rowOff>
    </xdr:from>
    <xdr:to>
      <xdr:col>99</xdr:col>
      <xdr:colOff>460375</xdr:colOff>
      <xdr:row>22</xdr:row>
      <xdr:rowOff>293688</xdr:rowOff>
    </xdr:to>
    <xdr:pic>
      <xdr:nvPicPr>
        <xdr:cNvPr id="1041" name="Picture 1040">
          <a:extLst>
            <a:ext uri="{FF2B5EF4-FFF2-40B4-BE49-F238E27FC236}">
              <a16:creationId xmlns:a16="http://schemas.microsoft.com/office/drawing/2014/main" id="{1B36BAAE-93A2-AD64-7C24-EF11188DBB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763111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22</xdr:row>
      <xdr:rowOff>39688</xdr:rowOff>
    </xdr:from>
    <xdr:to>
      <xdr:col>3</xdr:col>
      <xdr:colOff>460375</xdr:colOff>
      <xdr:row>22</xdr:row>
      <xdr:rowOff>293688</xdr:rowOff>
    </xdr:to>
    <xdr:pic>
      <xdr:nvPicPr>
        <xdr:cNvPr id="1044" name="Picture 1043">
          <a:extLst>
            <a:ext uri="{FF2B5EF4-FFF2-40B4-BE49-F238E27FC236}">
              <a16:creationId xmlns:a16="http://schemas.microsoft.com/office/drawing/2014/main" id="{C9B276D4-63C3-80A4-1823-077CFD83EB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7631113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22</xdr:row>
      <xdr:rowOff>39688</xdr:rowOff>
    </xdr:from>
    <xdr:to>
      <xdr:col>111</xdr:col>
      <xdr:colOff>460375</xdr:colOff>
      <xdr:row>22</xdr:row>
      <xdr:rowOff>293688</xdr:rowOff>
    </xdr:to>
    <xdr:pic>
      <xdr:nvPicPr>
        <xdr:cNvPr id="1047" name="Picture 1046">
          <a:extLst>
            <a:ext uri="{FF2B5EF4-FFF2-40B4-BE49-F238E27FC236}">
              <a16:creationId xmlns:a16="http://schemas.microsoft.com/office/drawing/2014/main" id="{2971B11C-9A1A-292A-2A35-9B5F464901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7631113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22</xdr:row>
      <xdr:rowOff>39688</xdr:rowOff>
    </xdr:from>
    <xdr:to>
      <xdr:col>183</xdr:col>
      <xdr:colOff>460375</xdr:colOff>
      <xdr:row>22</xdr:row>
      <xdr:rowOff>293688</xdr:rowOff>
    </xdr:to>
    <xdr:pic>
      <xdr:nvPicPr>
        <xdr:cNvPr id="1050" name="Picture 1049">
          <a:extLst>
            <a:ext uri="{FF2B5EF4-FFF2-40B4-BE49-F238E27FC236}">
              <a16:creationId xmlns:a16="http://schemas.microsoft.com/office/drawing/2014/main" id="{98FA3BB6-2349-9049-C371-22115496F9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7631113"/>
          <a:ext cx="254000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22</xdr:row>
      <xdr:rowOff>39688</xdr:rowOff>
    </xdr:from>
    <xdr:to>
      <xdr:col>123</xdr:col>
      <xdr:colOff>460375</xdr:colOff>
      <xdr:row>22</xdr:row>
      <xdr:rowOff>293688</xdr:rowOff>
    </xdr:to>
    <xdr:pic>
      <xdr:nvPicPr>
        <xdr:cNvPr id="1053" name="Picture 1052">
          <a:extLst>
            <a:ext uri="{FF2B5EF4-FFF2-40B4-BE49-F238E27FC236}">
              <a16:creationId xmlns:a16="http://schemas.microsoft.com/office/drawing/2014/main" id="{7302929C-D4CB-5139-913C-E0C95F081E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7631113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230001</xdr:colOff>
      <xdr:row>22</xdr:row>
      <xdr:rowOff>39688</xdr:rowOff>
    </xdr:from>
    <xdr:to>
      <xdr:col>87</xdr:col>
      <xdr:colOff>436745</xdr:colOff>
      <xdr:row>22</xdr:row>
      <xdr:rowOff>293688</xdr:rowOff>
    </xdr:to>
    <xdr:pic>
      <xdr:nvPicPr>
        <xdr:cNvPr id="1056" name="Picture 1055">
          <a:extLst>
            <a:ext uri="{FF2B5EF4-FFF2-40B4-BE49-F238E27FC236}">
              <a16:creationId xmlns:a16="http://schemas.microsoft.com/office/drawing/2014/main" id="{5D09F565-39BB-7E9A-98D4-8BABD62AB7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17701" y="7631113"/>
          <a:ext cx="206744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22</xdr:row>
      <xdr:rowOff>39688</xdr:rowOff>
    </xdr:from>
    <xdr:to>
      <xdr:col>147</xdr:col>
      <xdr:colOff>460375</xdr:colOff>
      <xdr:row>22</xdr:row>
      <xdr:rowOff>293688</xdr:rowOff>
    </xdr:to>
    <xdr:pic>
      <xdr:nvPicPr>
        <xdr:cNvPr id="1059" name="Picture 1058">
          <a:extLst>
            <a:ext uri="{FF2B5EF4-FFF2-40B4-BE49-F238E27FC236}">
              <a16:creationId xmlns:a16="http://schemas.microsoft.com/office/drawing/2014/main" id="{D8D03C26-5514-2AC1-2E94-DCF3FE18F5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7631113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22</xdr:row>
      <xdr:rowOff>39688</xdr:rowOff>
    </xdr:from>
    <xdr:to>
      <xdr:col>219</xdr:col>
      <xdr:colOff>460375</xdr:colOff>
      <xdr:row>22</xdr:row>
      <xdr:rowOff>293688</xdr:rowOff>
    </xdr:to>
    <xdr:pic>
      <xdr:nvPicPr>
        <xdr:cNvPr id="1062" name="Picture 1061">
          <a:extLst>
            <a:ext uri="{FF2B5EF4-FFF2-40B4-BE49-F238E27FC236}">
              <a16:creationId xmlns:a16="http://schemas.microsoft.com/office/drawing/2014/main" id="{98E595B1-4D5F-4642-FA05-8F44459389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7631113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22</xdr:row>
      <xdr:rowOff>39688</xdr:rowOff>
    </xdr:from>
    <xdr:to>
      <xdr:col>171</xdr:col>
      <xdr:colOff>460375</xdr:colOff>
      <xdr:row>22</xdr:row>
      <xdr:rowOff>293688</xdr:rowOff>
    </xdr:to>
    <xdr:pic>
      <xdr:nvPicPr>
        <xdr:cNvPr id="1065" name="Picture 1064">
          <a:extLst>
            <a:ext uri="{FF2B5EF4-FFF2-40B4-BE49-F238E27FC236}">
              <a16:creationId xmlns:a16="http://schemas.microsoft.com/office/drawing/2014/main" id="{95272C0F-26FF-FDD3-D121-D2374760F5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7631113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22</xdr:row>
      <xdr:rowOff>39688</xdr:rowOff>
    </xdr:from>
    <xdr:to>
      <xdr:col>75</xdr:col>
      <xdr:colOff>460375</xdr:colOff>
      <xdr:row>22</xdr:row>
      <xdr:rowOff>293688</xdr:rowOff>
    </xdr:to>
    <xdr:pic>
      <xdr:nvPicPr>
        <xdr:cNvPr id="1068" name="Picture 1067">
          <a:extLst>
            <a:ext uri="{FF2B5EF4-FFF2-40B4-BE49-F238E27FC236}">
              <a16:creationId xmlns:a16="http://schemas.microsoft.com/office/drawing/2014/main" id="{176FE438-6AA6-2DFE-A6EE-0471974FA5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7631113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263525</xdr:colOff>
      <xdr:row>22</xdr:row>
      <xdr:rowOff>39688</xdr:rowOff>
    </xdr:from>
    <xdr:to>
      <xdr:col>195</xdr:col>
      <xdr:colOff>403225</xdr:colOff>
      <xdr:row>22</xdr:row>
      <xdr:rowOff>293688</xdr:rowOff>
    </xdr:to>
    <xdr:pic>
      <xdr:nvPicPr>
        <xdr:cNvPr id="1071" name="Picture 1070">
          <a:extLst>
            <a:ext uri="{FF2B5EF4-FFF2-40B4-BE49-F238E27FC236}">
              <a16:creationId xmlns:a16="http://schemas.microsoft.com/office/drawing/2014/main" id="{65C89D77-B9A1-1224-67E6-178D14C0DF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59400" y="7631113"/>
          <a:ext cx="1397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22</xdr:row>
      <xdr:rowOff>39688</xdr:rowOff>
    </xdr:from>
    <xdr:to>
      <xdr:col>135</xdr:col>
      <xdr:colOff>460375</xdr:colOff>
      <xdr:row>22</xdr:row>
      <xdr:rowOff>293688</xdr:rowOff>
    </xdr:to>
    <xdr:pic>
      <xdr:nvPicPr>
        <xdr:cNvPr id="1074" name="Picture 1073">
          <a:extLst>
            <a:ext uri="{FF2B5EF4-FFF2-40B4-BE49-F238E27FC236}">
              <a16:creationId xmlns:a16="http://schemas.microsoft.com/office/drawing/2014/main" id="{77C16515-EBF6-D1F8-D6D1-B64A23CC4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7631113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22</xdr:row>
      <xdr:rowOff>39688</xdr:rowOff>
    </xdr:from>
    <xdr:to>
      <xdr:col>231</xdr:col>
      <xdr:colOff>460375</xdr:colOff>
      <xdr:row>22</xdr:row>
      <xdr:rowOff>293688</xdr:rowOff>
    </xdr:to>
    <xdr:pic>
      <xdr:nvPicPr>
        <xdr:cNvPr id="1077" name="Picture 1076">
          <a:extLst>
            <a:ext uri="{FF2B5EF4-FFF2-40B4-BE49-F238E27FC236}">
              <a16:creationId xmlns:a16="http://schemas.microsoft.com/office/drawing/2014/main" id="{0B68805E-1C00-42F5-6DCB-2D69C42935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7631113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22</xdr:row>
      <xdr:rowOff>39688</xdr:rowOff>
    </xdr:from>
    <xdr:to>
      <xdr:col>39</xdr:col>
      <xdr:colOff>460375</xdr:colOff>
      <xdr:row>22</xdr:row>
      <xdr:rowOff>293688</xdr:rowOff>
    </xdr:to>
    <xdr:pic>
      <xdr:nvPicPr>
        <xdr:cNvPr id="1080" name="Picture 1079">
          <a:extLst>
            <a:ext uri="{FF2B5EF4-FFF2-40B4-BE49-F238E27FC236}">
              <a16:creationId xmlns:a16="http://schemas.microsoft.com/office/drawing/2014/main" id="{FB4078D0-6FB0-0880-628B-33B025143D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763111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23</xdr:row>
      <xdr:rowOff>39688</xdr:rowOff>
    </xdr:from>
    <xdr:to>
      <xdr:col>3</xdr:col>
      <xdr:colOff>460375</xdr:colOff>
      <xdr:row>23</xdr:row>
      <xdr:rowOff>293688</xdr:rowOff>
    </xdr:to>
    <xdr:pic>
      <xdr:nvPicPr>
        <xdr:cNvPr id="1083" name="Picture 1082">
          <a:extLst>
            <a:ext uri="{FF2B5EF4-FFF2-40B4-BE49-F238E27FC236}">
              <a16:creationId xmlns:a16="http://schemas.microsoft.com/office/drawing/2014/main" id="{CA014C2B-FCED-E018-71DD-4260D2AD42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7964488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23</xdr:row>
      <xdr:rowOff>39688</xdr:rowOff>
    </xdr:from>
    <xdr:to>
      <xdr:col>51</xdr:col>
      <xdr:colOff>460375</xdr:colOff>
      <xdr:row>23</xdr:row>
      <xdr:rowOff>293688</xdr:rowOff>
    </xdr:to>
    <xdr:pic>
      <xdr:nvPicPr>
        <xdr:cNvPr id="1086" name="Picture 1085">
          <a:extLst>
            <a:ext uri="{FF2B5EF4-FFF2-40B4-BE49-F238E27FC236}">
              <a16:creationId xmlns:a16="http://schemas.microsoft.com/office/drawing/2014/main" id="{70F76EDE-8C81-BCC6-9E7C-200322A769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7964488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23</xdr:row>
      <xdr:rowOff>39688</xdr:rowOff>
    </xdr:from>
    <xdr:to>
      <xdr:col>39</xdr:col>
      <xdr:colOff>460375</xdr:colOff>
      <xdr:row>23</xdr:row>
      <xdr:rowOff>293688</xdr:rowOff>
    </xdr:to>
    <xdr:pic>
      <xdr:nvPicPr>
        <xdr:cNvPr id="1089" name="Picture 1088">
          <a:extLst>
            <a:ext uri="{FF2B5EF4-FFF2-40B4-BE49-F238E27FC236}">
              <a16:creationId xmlns:a16="http://schemas.microsoft.com/office/drawing/2014/main" id="{75246C21-25A1-5D0D-9485-329EA2CD1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7964488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23</xdr:row>
      <xdr:rowOff>39688</xdr:rowOff>
    </xdr:from>
    <xdr:to>
      <xdr:col>27</xdr:col>
      <xdr:colOff>460375</xdr:colOff>
      <xdr:row>23</xdr:row>
      <xdr:rowOff>293688</xdr:rowOff>
    </xdr:to>
    <xdr:pic>
      <xdr:nvPicPr>
        <xdr:cNvPr id="1092" name="Picture 1091">
          <a:extLst>
            <a:ext uri="{FF2B5EF4-FFF2-40B4-BE49-F238E27FC236}">
              <a16:creationId xmlns:a16="http://schemas.microsoft.com/office/drawing/2014/main" id="{C55602FE-7B40-CF3C-01CB-277A7ED5C0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7964488"/>
          <a:ext cx="254000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23</xdr:row>
      <xdr:rowOff>39688</xdr:rowOff>
    </xdr:from>
    <xdr:to>
      <xdr:col>63</xdr:col>
      <xdr:colOff>460375</xdr:colOff>
      <xdr:row>23</xdr:row>
      <xdr:rowOff>293688</xdr:rowOff>
    </xdr:to>
    <xdr:pic>
      <xdr:nvPicPr>
        <xdr:cNvPr id="1095" name="Picture 1094">
          <a:extLst>
            <a:ext uri="{FF2B5EF4-FFF2-40B4-BE49-F238E27FC236}">
              <a16:creationId xmlns:a16="http://schemas.microsoft.com/office/drawing/2014/main" id="{15B76E37-FE7A-E85B-13A7-97BAD99E92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7964488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223131</xdr:colOff>
      <xdr:row>23</xdr:row>
      <xdr:rowOff>39688</xdr:rowOff>
    </xdr:from>
    <xdr:to>
      <xdr:col>99</xdr:col>
      <xdr:colOff>443617</xdr:colOff>
      <xdr:row>23</xdr:row>
      <xdr:rowOff>293688</xdr:rowOff>
    </xdr:to>
    <xdr:pic>
      <xdr:nvPicPr>
        <xdr:cNvPr id="1098" name="Picture 1097">
          <a:extLst>
            <a:ext uri="{FF2B5EF4-FFF2-40B4-BE49-F238E27FC236}">
              <a16:creationId xmlns:a16="http://schemas.microsoft.com/office/drawing/2014/main" id="{867E935C-8285-EE38-1B9E-C99D0266C3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78406" y="7964488"/>
          <a:ext cx="220486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23</xdr:row>
      <xdr:rowOff>39688</xdr:rowOff>
    </xdr:from>
    <xdr:to>
      <xdr:col>75</xdr:col>
      <xdr:colOff>460375</xdr:colOff>
      <xdr:row>23</xdr:row>
      <xdr:rowOff>293688</xdr:rowOff>
    </xdr:to>
    <xdr:pic>
      <xdr:nvPicPr>
        <xdr:cNvPr id="1101" name="Picture 1100">
          <a:extLst>
            <a:ext uri="{FF2B5EF4-FFF2-40B4-BE49-F238E27FC236}">
              <a16:creationId xmlns:a16="http://schemas.microsoft.com/office/drawing/2014/main" id="{88678E22-BC80-2F21-3209-B6B94FDA91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796448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23</xdr:row>
      <xdr:rowOff>39688</xdr:rowOff>
    </xdr:from>
    <xdr:to>
      <xdr:col>15</xdr:col>
      <xdr:colOff>460375</xdr:colOff>
      <xdr:row>23</xdr:row>
      <xdr:rowOff>293688</xdr:rowOff>
    </xdr:to>
    <xdr:pic>
      <xdr:nvPicPr>
        <xdr:cNvPr id="1104" name="Picture 1103">
          <a:extLst>
            <a:ext uri="{FF2B5EF4-FFF2-40B4-BE49-F238E27FC236}">
              <a16:creationId xmlns:a16="http://schemas.microsoft.com/office/drawing/2014/main" id="{762309AC-10FC-004B-2212-02270DA8E6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7964488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23</xdr:row>
      <xdr:rowOff>39688</xdr:rowOff>
    </xdr:from>
    <xdr:to>
      <xdr:col>87</xdr:col>
      <xdr:colOff>460375</xdr:colOff>
      <xdr:row>23</xdr:row>
      <xdr:rowOff>293688</xdr:rowOff>
    </xdr:to>
    <xdr:pic>
      <xdr:nvPicPr>
        <xdr:cNvPr id="1107" name="Picture 1106">
          <a:extLst>
            <a:ext uri="{FF2B5EF4-FFF2-40B4-BE49-F238E27FC236}">
              <a16:creationId xmlns:a16="http://schemas.microsoft.com/office/drawing/2014/main" id="{134082D2-A0C4-D5B0-E812-546E9CC5E8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7964488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23</xdr:row>
      <xdr:rowOff>39688</xdr:rowOff>
    </xdr:from>
    <xdr:to>
      <xdr:col>195</xdr:col>
      <xdr:colOff>460375</xdr:colOff>
      <xdr:row>23</xdr:row>
      <xdr:rowOff>293688</xdr:rowOff>
    </xdr:to>
    <xdr:pic>
      <xdr:nvPicPr>
        <xdr:cNvPr id="1110" name="Picture 1109">
          <a:extLst>
            <a:ext uri="{FF2B5EF4-FFF2-40B4-BE49-F238E27FC236}">
              <a16:creationId xmlns:a16="http://schemas.microsoft.com/office/drawing/2014/main" id="{9AAA2B02-86F7-1CAA-59FC-4F9B048438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7964488"/>
          <a:ext cx="2540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23</xdr:row>
      <xdr:rowOff>39688</xdr:rowOff>
    </xdr:from>
    <xdr:to>
      <xdr:col>135</xdr:col>
      <xdr:colOff>460375</xdr:colOff>
      <xdr:row>23</xdr:row>
      <xdr:rowOff>293688</xdr:rowOff>
    </xdr:to>
    <xdr:pic>
      <xdr:nvPicPr>
        <xdr:cNvPr id="1113" name="Picture 1112">
          <a:extLst>
            <a:ext uri="{FF2B5EF4-FFF2-40B4-BE49-F238E27FC236}">
              <a16:creationId xmlns:a16="http://schemas.microsoft.com/office/drawing/2014/main" id="{4C311766-0FF5-C88F-1B85-E11B57662F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7964488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263525</xdr:colOff>
      <xdr:row>23</xdr:row>
      <xdr:rowOff>39688</xdr:rowOff>
    </xdr:from>
    <xdr:to>
      <xdr:col>231</xdr:col>
      <xdr:colOff>403225</xdr:colOff>
      <xdr:row>23</xdr:row>
      <xdr:rowOff>293688</xdr:rowOff>
    </xdr:to>
    <xdr:pic>
      <xdr:nvPicPr>
        <xdr:cNvPr id="1116" name="Picture 1115">
          <a:extLst>
            <a:ext uri="{FF2B5EF4-FFF2-40B4-BE49-F238E27FC236}">
              <a16:creationId xmlns:a16="http://schemas.microsoft.com/office/drawing/2014/main" id="{09A205E3-629B-CEAB-EF42-2DDA869965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62125" y="7964488"/>
          <a:ext cx="1397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23</xdr:row>
      <xdr:rowOff>39688</xdr:rowOff>
    </xdr:from>
    <xdr:to>
      <xdr:col>159</xdr:col>
      <xdr:colOff>460375</xdr:colOff>
      <xdr:row>23</xdr:row>
      <xdr:rowOff>293688</xdr:rowOff>
    </xdr:to>
    <xdr:pic>
      <xdr:nvPicPr>
        <xdr:cNvPr id="1119" name="Picture 1118">
          <a:extLst>
            <a:ext uri="{FF2B5EF4-FFF2-40B4-BE49-F238E27FC236}">
              <a16:creationId xmlns:a16="http://schemas.microsoft.com/office/drawing/2014/main" id="{1B3FA907-8813-056A-FD59-C3E411ABFB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7964488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23</xdr:row>
      <xdr:rowOff>39688</xdr:rowOff>
    </xdr:from>
    <xdr:to>
      <xdr:col>171</xdr:col>
      <xdr:colOff>460375</xdr:colOff>
      <xdr:row>23</xdr:row>
      <xdr:rowOff>293688</xdr:rowOff>
    </xdr:to>
    <xdr:pic>
      <xdr:nvPicPr>
        <xdr:cNvPr id="1122" name="Picture 1121">
          <a:extLst>
            <a:ext uri="{FF2B5EF4-FFF2-40B4-BE49-F238E27FC236}">
              <a16:creationId xmlns:a16="http://schemas.microsoft.com/office/drawing/2014/main" id="{976C5323-E68D-54AE-529C-84F6329F20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7964488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23</xdr:row>
      <xdr:rowOff>39688</xdr:rowOff>
    </xdr:from>
    <xdr:to>
      <xdr:col>183</xdr:col>
      <xdr:colOff>460375</xdr:colOff>
      <xdr:row>23</xdr:row>
      <xdr:rowOff>293688</xdr:rowOff>
    </xdr:to>
    <xdr:pic>
      <xdr:nvPicPr>
        <xdr:cNvPr id="1125" name="Picture 1124">
          <a:extLst>
            <a:ext uri="{FF2B5EF4-FFF2-40B4-BE49-F238E27FC236}">
              <a16:creationId xmlns:a16="http://schemas.microsoft.com/office/drawing/2014/main" id="{CB8A146C-C344-169D-62BC-61B6395675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7964488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23</xdr:row>
      <xdr:rowOff>39688</xdr:rowOff>
    </xdr:from>
    <xdr:to>
      <xdr:col>147</xdr:col>
      <xdr:colOff>460375</xdr:colOff>
      <xdr:row>23</xdr:row>
      <xdr:rowOff>293688</xdr:rowOff>
    </xdr:to>
    <xdr:pic>
      <xdr:nvPicPr>
        <xdr:cNvPr id="1128" name="Picture 1127">
          <a:extLst>
            <a:ext uri="{FF2B5EF4-FFF2-40B4-BE49-F238E27FC236}">
              <a16:creationId xmlns:a16="http://schemas.microsoft.com/office/drawing/2014/main" id="{CE227218-8C82-83F6-BD7F-ACEDEF0EB9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7964488"/>
          <a:ext cx="254000" cy="254000"/>
        </a:xfrm>
        <a:prstGeom prst="rect">
          <a:avLst/>
        </a:prstGeom>
      </xdr:spPr>
    </xdr:pic>
    <xdr:clientData/>
  </xdr:twoCellAnchor>
  <xdr:twoCellAnchor>
    <xdr:from>
      <xdr:col>207</xdr:col>
      <xdr:colOff>230001</xdr:colOff>
      <xdr:row>23</xdr:row>
      <xdr:rowOff>39688</xdr:rowOff>
    </xdr:from>
    <xdr:to>
      <xdr:col>207</xdr:col>
      <xdr:colOff>436745</xdr:colOff>
      <xdr:row>23</xdr:row>
      <xdr:rowOff>293688</xdr:rowOff>
    </xdr:to>
    <xdr:pic>
      <xdr:nvPicPr>
        <xdr:cNvPr id="1131" name="Picture 1130">
          <a:extLst>
            <a:ext uri="{FF2B5EF4-FFF2-40B4-BE49-F238E27FC236}">
              <a16:creationId xmlns:a16="http://schemas.microsoft.com/office/drawing/2014/main" id="{A222695E-8514-A005-C103-5C75141A70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93451" y="7964488"/>
          <a:ext cx="206744" cy="254000"/>
        </a:xfrm>
        <a:prstGeom prst="rect">
          <a:avLst/>
        </a:prstGeom>
      </xdr:spPr>
    </xdr:pic>
    <xdr:clientData/>
  </xdr:twoCellAnchor>
  <xdr:twoCellAnchor>
    <xdr:from>
      <xdr:col>123</xdr:col>
      <xdr:colOff>181211</xdr:colOff>
      <xdr:row>23</xdr:row>
      <xdr:rowOff>39688</xdr:rowOff>
    </xdr:from>
    <xdr:to>
      <xdr:col>123</xdr:col>
      <xdr:colOff>485543</xdr:colOff>
      <xdr:row>23</xdr:row>
      <xdr:rowOff>293688</xdr:rowOff>
    </xdr:to>
    <xdr:pic>
      <xdr:nvPicPr>
        <xdr:cNvPr id="1134" name="Picture 1133">
          <a:extLst>
            <a:ext uri="{FF2B5EF4-FFF2-40B4-BE49-F238E27FC236}">
              <a16:creationId xmlns:a16="http://schemas.microsoft.com/office/drawing/2014/main" id="{5D77EC49-D966-1340-C4B3-C6D225FDDC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71636" y="7964488"/>
          <a:ext cx="304332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23</xdr:row>
      <xdr:rowOff>39688</xdr:rowOff>
    </xdr:from>
    <xdr:to>
      <xdr:col>219</xdr:col>
      <xdr:colOff>460375</xdr:colOff>
      <xdr:row>23</xdr:row>
      <xdr:rowOff>293688</xdr:rowOff>
    </xdr:to>
    <xdr:pic>
      <xdr:nvPicPr>
        <xdr:cNvPr id="1137" name="Picture 1136">
          <a:extLst>
            <a:ext uri="{FF2B5EF4-FFF2-40B4-BE49-F238E27FC236}">
              <a16:creationId xmlns:a16="http://schemas.microsoft.com/office/drawing/2014/main" id="{9A8D3BE2-3EF6-50EE-147D-3052F9EE68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7964488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23</xdr:row>
      <xdr:rowOff>39688</xdr:rowOff>
    </xdr:from>
    <xdr:to>
      <xdr:col>111</xdr:col>
      <xdr:colOff>460375</xdr:colOff>
      <xdr:row>23</xdr:row>
      <xdr:rowOff>293688</xdr:rowOff>
    </xdr:to>
    <xdr:pic>
      <xdr:nvPicPr>
        <xdr:cNvPr id="1140" name="Picture 1139">
          <a:extLst>
            <a:ext uri="{FF2B5EF4-FFF2-40B4-BE49-F238E27FC236}">
              <a16:creationId xmlns:a16="http://schemas.microsoft.com/office/drawing/2014/main" id="{21FCC881-0410-0CEC-7FC7-E44F3ECA47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7964488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24</xdr:row>
      <xdr:rowOff>39688</xdr:rowOff>
    </xdr:from>
    <xdr:to>
      <xdr:col>3</xdr:col>
      <xdr:colOff>460375</xdr:colOff>
      <xdr:row>24</xdr:row>
      <xdr:rowOff>293688</xdr:rowOff>
    </xdr:to>
    <xdr:pic>
      <xdr:nvPicPr>
        <xdr:cNvPr id="1143" name="Picture 1142">
          <a:extLst>
            <a:ext uri="{FF2B5EF4-FFF2-40B4-BE49-F238E27FC236}">
              <a16:creationId xmlns:a16="http://schemas.microsoft.com/office/drawing/2014/main" id="{308BC69E-0DC9-F8AB-C8BE-FE772F25BF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8297863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24</xdr:row>
      <xdr:rowOff>39688</xdr:rowOff>
    </xdr:from>
    <xdr:to>
      <xdr:col>15</xdr:col>
      <xdr:colOff>460375</xdr:colOff>
      <xdr:row>24</xdr:row>
      <xdr:rowOff>293688</xdr:rowOff>
    </xdr:to>
    <xdr:pic>
      <xdr:nvPicPr>
        <xdr:cNvPr id="1146" name="Picture 1145">
          <a:extLst>
            <a:ext uri="{FF2B5EF4-FFF2-40B4-BE49-F238E27FC236}">
              <a16:creationId xmlns:a16="http://schemas.microsoft.com/office/drawing/2014/main" id="{9B0C1422-027C-1BDC-A3C8-610407554A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8297863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24</xdr:row>
      <xdr:rowOff>39688</xdr:rowOff>
    </xdr:from>
    <xdr:to>
      <xdr:col>39</xdr:col>
      <xdr:colOff>460375</xdr:colOff>
      <xdr:row>24</xdr:row>
      <xdr:rowOff>293688</xdr:rowOff>
    </xdr:to>
    <xdr:pic>
      <xdr:nvPicPr>
        <xdr:cNvPr id="1149" name="Picture 1148">
          <a:extLst>
            <a:ext uri="{FF2B5EF4-FFF2-40B4-BE49-F238E27FC236}">
              <a16:creationId xmlns:a16="http://schemas.microsoft.com/office/drawing/2014/main" id="{6799DBE4-FF6D-82D1-D5C1-0A78ACB76F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8297863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24</xdr:row>
      <xdr:rowOff>39688</xdr:rowOff>
    </xdr:from>
    <xdr:to>
      <xdr:col>195</xdr:col>
      <xdr:colOff>460375</xdr:colOff>
      <xdr:row>24</xdr:row>
      <xdr:rowOff>293688</xdr:rowOff>
    </xdr:to>
    <xdr:pic>
      <xdr:nvPicPr>
        <xdr:cNvPr id="1152" name="Picture 1151">
          <a:extLst>
            <a:ext uri="{FF2B5EF4-FFF2-40B4-BE49-F238E27FC236}">
              <a16:creationId xmlns:a16="http://schemas.microsoft.com/office/drawing/2014/main" id="{4E38F47B-ECE6-333D-2D0A-EF743A5E34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8297863"/>
          <a:ext cx="254000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24</xdr:row>
      <xdr:rowOff>39688</xdr:rowOff>
    </xdr:from>
    <xdr:to>
      <xdr:col>63</xdr:col>
      <xdr:colOff>460375</xdr:colOff>
      <xdr:row>24</xdr:row>
      <xdr:rowOff>293688</xdr:rowOff>
    </xdr:to>
    <xdr:pic>
      <xdr:nvPicPr>
        <xdr:cNvPr id="1155" name="Picture 1154">
          <a:extLst>
            <a:ext uri="{FF2B5EF4-FFF2-40B4-BE49-F238E27FC236}">
              <a16:creationId xmlns:a16="http://schemas.microsoft.com/office/drawing/2014/main" id="{CB083A34-4CBF-DB15-AA41-9612750160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8297863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223131</xdr:colOff>
      <xdr:row>24</xdr:row>
      <xdr:rowOff>39688</xdr:rowOff>
    </xdr:from>
    <xdr:to>
      <xdr:col>171</xdr:col>
      <xdr:colOff>443617</xdr:colOff>
      <xdr:row>24</xdr:row>
      <xdr:rowOff>293688</xdr:rowOff>
    </xdr:to>
    <xdr:pic>
      <xdr:nvPicPr>
        <xdr:cNvPr id="1158" name="Picture 1157">
          <a:extLst>
            <a:ext uri="{FF2B5EF4-FFF2-40B4-BE49-F238E27FC236}">
              <a16:creationId xmlns:a16="http://schemas.microsoft.com/office/drawing/2014/main" id="{D96EC8A2-09FB-4DED-CACE-17A0FD4E42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83856" y="8297863"/>
          <a:ext cx="220486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24</xdr:row>
      <xdr:rowOff>39688</xdr:rowOff>
    </xdr:from>
    <xdr:to>
      <xdr:col>75</xdr:col>
      <xdr:colOff>460375</xdr:colOff>
      <xdr:row>24</xdr:row>
      <xdr:rowOff>293688</xdr:rowOff>
    </xdr:to>
    <xdr:pic>
      <xdr:nvPicPr>
        <xdr:cNvPr id="1161" name="Picture 1160">
          <a:extLst>
            <a:ext uri="{FF2B5EF4-FFF2-40B4-BE49-F238E27FC236}">
              <a16:creationId xmlns:a16="http://schemas.microsoft.com/office/drawing/2014/main" id="{92C39A74-5BEB-46D6-FE60-F4A23173F7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8297863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24</xdr:row>
      <xdr:rowOff>39688</xdr:rowOff>
    </xdr:from>
    <xdr:to>
      <xdr:col>27</xdr:col>
      <xdr:colOff>460375</xdr:colOff>
      <xdr:row>24</xdr:row>
      <xdr:rowOff>293688</xdr:rowOff>
    </xdr:to>
    <xdr:pic>
      <xdr:nvPicPr>
        <xdr:cNvPr id="1164" name="Picture 1163">
          <a:extLst>
            <a:ext uri="{FF2B5EF4-FFF2-40B4-BE49-F238E27FC236}">
              <a16:creationId xmlns:a16="http://schemas.microsoft.com/office/drawing/2014/main" id="{A61AE46B-3FCB-48A0-92E1-C1F20EBB0B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8297863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24</xdr:row>
      <xdr:rowOff>39688</xdr:rowOff>
    </xdr:from>
    <xdr:to>
      <xdr:col>87</xdr:col>
      <xdr:colOff>460375</xdr:colOff>
      <xdr:row>24</xdr:row>
      <xdr:rowOff>293688</xdr:rowOff>
    </xdr:to>
    <xdr:pic>
      <xdr:nvPicPr>
        <xdr:cNvPr id="1167" name="Picture 1166">
          <a:extLst>
            <a:ext uri="{FF2B5EF4-FFF2-40B4-BE49-F238E27FC236}">
              <a16:creationId xmlns:a16="http://schemas.microsoft.com/office/drawing/2014/main" id="{37375D89-95FC-EBBC-74D1-388261A9C1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8297863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24</xdr:row>
      <xdr:rowOff>39688</xdr:rowOff>
    </xdr:from>
    <xdr:to>
      <xdr:col>111</xdr:col>
      <xdr:colOff>460375</xdr:colOff>
      <xdr:row>24</xdr:row>
      <xdr:rowOff>293688</xdr:rowOff>
    </xdr:to>
    <xdr:pic>
      <xdr:nvPicPr>
        <xdr:cNvPr id="1170" name="Picture 1169">
          <a:extLst>
            <a:ext uri="{FF2B5EF4-FFF2-40B4-BE49-F238E27FC236}">
              <a16:creationId xmlns:a16="http://schemas.microsoft.com/office/drawing/2014/main" id="{F454D44A-2F0F-714D-0D8B-88229905F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8297863"/>
          <a:ext cx="254000" cy="254000"/>
        </a:xfrm>
        <a:prstGeom prst="rect">
          <a:avLst/>
        </a:prstGeom>
      </xdr:spPr>
    </xdr:pic>
    <xdr:clientData/>
  </xdr:twoCellAnchor>
  <xdr:twoCellAnchor>
    <xdr:from>
      <xdr:col>135</xdr:col>
      <xdr:colOff>230001</xdr:colOff>
      <xdr:row>24</xdr:row>
      <xdr:rowOff>39688</xdr:rowOff>
    </xdr:from>
    <xdr:to>
      <xdr:col>135</xdr:col>
      <xdr:colOff>436745</xdr:colOff>
      <xdr:row>24</xdr:row>
      <xdr:rowOff>293688</xdr:rowOff>
    </xdr:to>
    <xdr:pic>
      <xdr:nvPicPr>
        <xdr:cNvPr id="1173" name="Picture 1172">
          <a:extLst>
            <a:ext uri="{FF2B5EF4-FFF2-40B4-BE49-F238E27FC236}">
              <a16:creationId xmlns:a16="http://schemas.microsoft.com/office/drawing/2014/main" id="{DAABA36B-8C28-B071-A1A1-D68B8C9090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88001" y="8297863"/>
          <a:ext cx="206744" cy="254000"/>
        </a:xfrm>
        <a:prstGeom prst="rect">
          <a:avLst/>
        </a:prstGeom>
      </xdr:spPr>
    </xdr:pic>
    <xdr:clientData/>
  </xdr:twoCellAnchor>
  <xdr:twoCellAnchor>
    <xdr:from>
      <xdr:col>123</xdr:col>
      <xdr:colOff>263525</xdr:colOff>
      <xdr:row>24</xdr:row>
      <xdr:rowOff>39688</xdr:rowOff>
    </xdr:from>
    <xdr:to>
      <xdr:col>123</xdr:col>
      <xdr:colOff>403225</xdr:colOff>
      <xdr:row>24</xdr:row>
      <xdr:rowOff>293688</xdr:rowOff>
    </xdr:to>
    <xdr:pic>
      <xdr:nvPicPr>
        <xdr:cNvPr id="1176" name="Picture 1175">
          <a:extLst>
            <a:ext uri="{FF2B5EF4-FFF2-40B4-BE49-F238E27FC236}">
              <a16:creationId xmlns:a16="http://schemas.microsoft.com/office/drawing/2014/main" id="{70643ACD-3240-CC7F-9783-64D569704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053950" y="8297863"/>
          <a:ext cx="1397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24</xdr:row>
      <xdr:rowOff>39688</xdr:rowOff>
    </xdr:from>
    <xdr:to>
      <xdr:col>159</xdr:col>
      <xdr:colOff>460375</xdr:colOff>
      <xdr:row>24</xdr:row>
      <xdr:rowOff>293688</xdr:rowOff>
    </xdr:to>
    <xdr:pic>
      <xdr:nvPicPr>
        <xdr:cNvPr id="1179" name="Picture 1178">
          <a:extLst>
            <a:ext uri="{FF2B5EF4-FFF2-40B4-BE49-F238E27FC236}">
              <a16:creationId xmlns:a16="http://schemas.microsoft.com/office/drawing/2014/main" id="{9ED81306-2F4E-2BD8-9B37-562008B56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8297863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24</xdr:row>
      <xdr:rowOff>39688</xdr:rowOff>
    </xdr:from>
    <xdr:to>
      <xdr:col>231</xdr:col>
      <xdr:colOff>460375</xdr:colOff>
      <xdr:row>24</xdr:row>
      <xdr:rowOff>293688</xdr:rowOff>
    </xdr:to>
    <xdr:pic>
      <xdr:nvPicPr>
        <xdr:cNvPr id="1182" name="Picture 1181">
          <a:extLst>
            <a:ext uri="{FF2B5EF4-FFF2-40B4-BE49-F238E27FC236}">
              <a16:creationId xmlns:a16="http://schemas.microsoft.com/office/drawing/2014/main" id="{069B8AF2-996B-A9E4-5F9F-B7EC156468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8297863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24</xdr:row>
      <xdr:rowOff>39688</xdr:rowOff>
    </xdr:from>
    <xdr:to>
      <xdr:col>183</xdr:col>
      <xdr:colOff>460375</xdr:colOff>
      <xdr:row>24</xdr:row>
      <xdr:rowOff>293688</xdr:rowOff>
    </xdr:to>
    <xdr:pic>
      <xdr:nvPicPr>
        <xdr:cNvPr id="1185" name="Picture 1184">
          <a:extLst>
            <a:ext uri="{FF2B5EF4-FFF2-40B4-BE49-F238E27FC236}">
              <a16:creationId xmlns:a16="http://schemas.microsoft.com/office/drawing/2014/main" id="{3F13E927-12E4-9CC5-5081-5455BC386C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8297863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24</xdr:row>
      <xdr:rowOff>39688</xdr:rowOff>
    </xdr:from>
    <xdr:to>
      <xdr:col>99</xdr:col>
      <xdr:colOff>460375</xdr:colOff>
      <xdr:row>24</xdr:row>
      <xdr:rowOff>293688</xdr:rowOff>
    </xdr:to>
    <xdr:pic>
      <xdr:nvPicPr>
        <xdr:cNvPr id="1188" name="Picture 1187">
          <a:extLst>
            <a:ext uri="{FF2B5EF4-FFF2-40B4-BE49-F238E27FC236}">
              <a16:creationId xmlns:a16="http://schemas.microsoft.com/office/drawing/2014/main" id="{83B26ACE-1D9F-E8FE-3E82-C5C8726529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8297863"/>
          <a:ext cx="254000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24</xdr:row>
      <xdr:rowOff>39688</xdr:rowOff>
    </xdr:from>
    <xdr:to>
      <xdr:col>207</xdr:col>
      <xdr:colOff>460375</xdr:colOff>
      <xdr:row>24</xdr:row>
      <xdr:rowOff>293688</xdr:rowOff>
    </xdr:to>
    <xdr:pic>
      <xdr:nvPicPr>
        <xdr:cNvPr id="1191" name="Picture 1190">
          <a:extLst>
            <a:ext uri="{FF2B5EF4-FFF2-40B4-BE49-F238E27FC236}">
              <a16:creationId xmlns:a16="http://schemas.microsoft.com/office/drawing/2014/main" id="{62C5F63E-AF5F-3CDE-0E6D-605B5A2EF0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8297863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181211</xdr:colOff>
      <xdr:row>24</xdr:row>
      <xdr:rowOff>39688</xdr:rowOff>
    </xdr:from>
    <xdr:to>
      <xdr:col>147</xdr:col>
      <xdr:colOff>485543</xdr:colOff>
      <xdr:row>24</xdr:row>
      <xdr:rowOff>293688</xdr:rowOff>
    </xdr:to>
    <xdr:pic>
      <xdr:nvPicPr>
        <xdr:cNvPr id="1194" name="Picture 1193">
          <a:extLst>
            <a:ext uri="{FF2B5EF4-FFF2-40B4-BE49-F238E27FC236}">
              <a16:creationId xmlns:a16="http://schemas.microsoft.com/office/drawing/2014/main" id="{DA0A697B-6E93-195C-E5CA-9F01F9E56C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06786" y="8297863"/>
          <a:ext cx="304332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24</xdr:row>
      <xdr:rowOff>39688</xdr:rowOff>
    </xdr:from>
    <xdr:to>
      <xdr:col>219</xdr:col>
      <xdr:colOff>460375</xdr:colOff>
      <xdr:row>24</xdr:row>
      <xdr:rowOff>293688</xdr:rowOff>
    </xdr:to>
    <xdr:pic>
      <xdr:nvPicPr>
        <xdr:cNvPr id="1197" name="Picture 1196">
          <a:extLst>
            <a:ext uri="{FF2B5EF4-FFF2-40B4-BE49-F238E27FC236}">
              <a16:creationId xmlns:a16="http://schemas.microsoft.com/office/drawing/2014/main" id="{F0A0C52C-BE23-5DA1-95E1-5AE0222391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8297863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24</xdr:row>
      <xdr:rowOff>39688</xdr:rowOff>
    </xdr:from>
    <xdr:to>
      <xdr:col>51</xdr:col>
      <xdr:colOff>460375</xdr:colOff>
      <xdr:row>24</xdr:row>
      <xdr:rowOff>293688</xdr:rowOff>
    </xdr:to>
    <xdr:pic>
      <xdr:nvPicPr>
        <xdr:cNvPr id="1200" name="Picture 1199">
          <a:extLst>
            <a:ext uri="{FF2B5EF4-FFF2-40B4-BE49-F238E27FC236}">
              <a16:creationId xmlns:a16="http://schemas.microsoft.com/office/drawing/2014/main" id="{0A1DE2B9-D3CA-81C2-5EC2-16286DF53D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8297863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26</xdr:row>
      <xdr:rowOff>39688</xdr:rowOff>
    </xdr:from>
    <xdr:to>
      <xdr:col>15</xdr:col>
      <xdr:colOff>460375</xdr:colOff>
      <xdr:row>26</xdr:row>
      <xdr:rowOff>293688</xdr:rowOff>
    </xdr:to>
    <xdr:pic>
      <xdr:nvPicPr>
        <xdr:cNvPr id="1203" name="Picture 1202">
          <a:extLst>
            <a:ext uri="{FF2B5EF4-FFF2-40B4-BE49-F238E27FC236}">
              <a16:creationId xmlns:a16="http://schemas.microsoft.com/office/drawing/2014/main" id="{061A7CA1-FFC8-4ABA-363C-278D1315A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8964613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26</xdr:row>
      <xdr:rowOff>39688</xdr:rowOff>
    </xdr:from>
    <xdr:to>
      <xdr:col>183</xdr:col>
      <xdr:colOff>460375</xdr:colOff>
      <xdr:row>26</xdr:row>
      <xdr:rowOff>293688</xdr:rowOff>
    </xdr:to>
    <xdr:pic>
      <xdr:nvPicPr>
        <xdr:cNvPr id="1206" name="Picture 1205">
          <a:extLst>
            <a:ext uri="{FF2B5EF4-FFF2-40B4-BE49-F238E27FC236}">
              <a16:creationId xmlns:a16="http://schemas.microsoft.com/office/drawing/2014/main" id="{32B68001-006C-A415-F242-8CD6BF142E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8964613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26</xdr:row>
      <xdr:rowOff>39688</xdr:rowOff>
    </xdr:from>
    <xdr:to>
      <xdr:col>27</xdr:col>
      <xdr:colOff>460375</xdr:colOff>
      <xdr:row>26</xdr:row>
      <xdr:rowOff>293688</xdr:rowOff>
    </xdr:to>
    <xdr:pic>
      <xdr:nvPicPr>
        <xdr:cNvPr id="1209" name="Picture 1208">
          <a:extLst>
            <a:ext uri="{FF2B5EF4-FFF2-40B4-BE49-F238E27FC236}">
              <a16:creationId xmlns:a16="http://schemas.microsoft.com/office/drawing/2014/main" id="{E24646CB-E7C8-6987-9602-BA6420E6BC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896461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26</xdr:row>
      <xdr:rowOff>39688</xdr:rowOff>
    </xdr:from>
    <xdr:to>
      <xdr:col>3</xdr:col>
      <xdr:colOff>460375</xdr:colOff>
      <xdr:row>26</xdr:row>
      <xdr:rowOff>293688</xdr:rowOff>
    </xdr:to>
    <xdr:pic>
      <xdr:nvPicPr>
        <xdr:cNvPr id="1212" name="Picture 1211">
          <a:extLst>
            <a:ext uri="{FF2B5EF4-FFF2-40B4-BE49-F238E27FC236}">
              <a16:creationId xmlns:a16="http://schemas.microsoft.com/office/drawing/2014/main" id="{BF753E99-F48D-A5BC-8D42-44076ABF53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8964613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223131</xdr:colOff>
      <xdr:row>26</xdr:row>
      <xdr:rowOff>39688</xdr:rowOff>
    </xdr:from>
    <xdr:to>
      <xdr:col>51</xdr:col>
      <xdr:colOff>443617</xdr:colOff>
      <xdr:row>26</xdr:row>
      <xdr:rowOff>293688</xdr:rowOff>
    </xdr:to>
    <xdr:pic>
      <xdr:nvPicPr>
        <xdr:cNvPr id="1215" name="Picture 1214">
          <a:extLst>
            <a:ext uri="{FF2B5EF4-FFF2-40B4-BE49-F238E27FC236}">
              <a16:creationId xmlns:a16="http://schemas.microsoft.com/office/drawing/2014/main" id="{5DC0341A-BCA1-92B4-8C7C-81510A2293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98581" y="8964613"/>
          <a:ext cx="220486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26</xdr:row>
      <xdr:rowOff>39688</xdr:rowOff>
    </xdr:from>
    <xdr:to>
      <xdr:col>63</xdr:col>
      <xdr:colOff>460375</xdr:colOff>
      <xdr:row>26</xdr:row>
      <xdr:rowOff>293688</xdr:rowOff>
    </xdr:to>
    <xdr:pic>
      <xdr:nvPicPr>
        <xdr:cNvPr id="1218" name="Picture 1217">
          <a:extLst>
            <a:ext uri="{FF2B5EF4-FFF2-40B4-BE49-F238E27FC236}">
              <a16:creationId xmlns:a16="http://schemas.microsoft.com/office/drawing/2014/main" id="{FECAB628-C01F-CAD2-45DD-2C1FB34B91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8964613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26</xdr:row>
      <xdr:rowOff>39688</xdr:rowOff>
    </xdr:from>
    <xdr:to>
      <xdr:col>99</xdr:col>
      <xdr:colOff>460375</xdr:colOff>
      <xdr:row>26</xdr:row>
      <xdr:rowOff>293688</xdr:rowOff>
    </xdr:to>
    <xdr:pic>
      <xdr:nvPicPr>
        <xdr:cNvPr id="1221" name="Picture 1220">
          <a:extLst>
            <a:ext uri="{FF2B5EF4-FFF2-40B4-BE49-F238E27FC236}">
              <a16:creationId xmlns:a16="http://schemas.microsoft.com/office/drawing/2014/main" id="{7C80BD7C-4621-989A-2E39-BEF9AD657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8964613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26</xdr:row>
      <xdr:rowOff>39688</xdr:rowOff>
    </xdr:from>
    <xdr:to>
      <xdr:col>39</xdr:col>
      <xdr:colOff>460375</xdr:colOff>
      <xdr:row>26</xdr:row>
      <xdr:rowOff>293688</xdr:rowOff>
    </xdr:to>
    <xdr:pic>
      <xdr:nvPicPr>
        <xdr:cNvPr id="1224" name="Picture 1223">
          <a:extLst>
            <a:ext uri="{FF2B5EF4-FFF2-40B4-BE49-F238E27FC236}">
              <a16:creationId xmlns:a16="http://schemas.microsoft.com/office/drawing/2014/main" id="{46A6773C-CE04-E94E-B126-956983041C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8964613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263525</xdr:colOff>
      <xdr:row>26</xdr:row>
      <xdr:rowOff>39688</xdr:rowOff>
    </xdr:from>
    <xdr:to>
      <xdr:col>111</xdr:col>
      <xdr:colOff>403225</xdr:colOff>
      <xdr:row>26</xdr:row>
      <xdr:rowOff>293688</xdr:rowOff>
    </xdr:to>
    <xdr:pic>
      <xdr:nvPicPr>
        <xdr:cNvPr id="1227" name="Picture 1226">
          <a:extLst>
            <a:ext uri="{FF2B5EF4-FFF2-40B4-BE49-F238E27FC236}">
              <a16:creationId xmlns:a16="http://schemas.microsoft.com/office/drawing/2014/main" id="{4B4B1B0A-6096-8CC2-B860-17001093F0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86375" y="8964613"/>
          <a:ext cx="1397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26</xdr:row>
      <xdr:rowOff>39688</xdr:rowOff>
    </xdr:from>
    <xdr:to>
      <xdr:col>135</xdr:col>
      <xdr:colOff>460375</xdr:colOff>
      <xdr:row>26</xdr:row>
      <xdr:rowOff>293688</xdr:rowOff>
    </xdr:to>
    <xdr:pic>
      <xdr:nvPicPr>
        <xdr:cNvPr id="1230" name="Picture 1229">
          <a:extLst>
            <a:ext uri="{FF2B5EF4-FFF2-40B4-BE49-F238E27FC236}">
              <a16:creationId xmlns:a16="http://schemas.microsoft.com/office/drawing/2014/main" id="{58043023-10F2-33EB-70D2-525578F257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8964613"/>
          <a:ext cx="254000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26</xdr:row>
      <xdr:rowOff>39688</xdr:rowOff>
    </xdr:from>
    <xdr:to>
      <xdr:col>123</xdr:col>
      <xdr:colOff>460375</xdr:colOff>
      <xdr:row>26</xdr:row>
      <xdr:rowOff>293688</xdr:rowOff>
    </xdr:to>
    <xdr:pic>
      <xdr:nvPicPr>
        <xdr:cNvPr id="1233" name="Picture 1232">
          <a:extLst>
            <a:ext uri="{FF2B5EF4-FFF2-40B4-BE49-F238E27FC236}">
              <a16:creationId xmlns:a16="http://schemas.microsoft.com/office/drawing/2014/main" id="{2A068CCF-94C6-C6AF-501C-DAB18B2591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8964613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230001</xdr:colOff>
      <xdr:row>26</xdr:row>
      <xdr:rowOff>39688</xdr:rowOff>
    </xdr:from>
    <xdr:to>
      <xdr:col>159</xdr:col>
      <xdr:colOff>436745</xdr:colOff>
      <xdr:row>26</xdr:row>
      <xdr:rowOff>293688</xdr:rowOff>
    </xdr:to>
    <xdr:pic>
      <xdr:nvPicPr>
        <xdr:cNvPr id="1236" name="Picture 1235">
          <a:extLst>
            <a:ext uri="{FF2B5EF4-FFF2-40B4-BE49-F238E27FC236}">
              <a16:creationId xmlns:a16="http://schemas.microsoft.com/office/drawing/2014/main" id="{3D3587B9-217B-EEF0-B189-E08B401FB0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823151" y="8964613"/>
          <a:ext cx="206744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26</xdr:row>
      <xdr:rowOff>39688</xdr:rowOff>
    </xdr:from>
    <xdr:to>
      <xdr:col>147</xdr:col>
      <xdr:colOff>460375</xdr:colOff>
      <xdr:row>26</xdr:row>
      <xdr:rowOff>293688</xdr:rowOff>
    </xdr:to>
    <xdr:pic>
      <xdr:nvPicPr>
        <xdr:cNvPr id="1239" name="Picture 1238">
          <a:extLst>
            <a:ext uri="{FF2B5EF4-FFF2-40B4-BE49-F238E27FC236}">
              <a16:creationId xmlns:a16="http://schemas.microsoft.com/office/drawing/2014/main" id="{B2FE1EB3-2954-4D09-6E0B-9294EC11CF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8964613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26</xdr:row>
      <xdr:rowOff>39688</xdr:rowOff>
    </xdr:from>
    <xdr:to>
      <xdr:col>75</xdr:col>
      <xdr:colOff>460375</xdr:colOff>
      <xdr:row>26</xdr:row>
      <xdr:rowOff>293688</xdr:rowOff>
    </xdr:to>
    <xdr:pic>
      <xdr:nvPicPr>
        <xdr:cNvPr id="1242" name="Picture 1241">
          <a:extLst>
            <a:ext uri="{FF2B5EF4-FFF2-40B4-BE49-F238E27FC236}">
              <a16:creationId xmlns:a16="http://schemas.microsoft.com/office/drawing/2014/main" id="{D7885F18-2176-0AC6-FE60-0E22DFBAD1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8964613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26</xdr:row>
      <xdr:rowOff>39688</xdr:rowOff>
    </xdr:from>
    <xdr:to>
      <xdr:col>171</xdr:col>
      <xdr:colOff>460375</xdr:colOff>
      <xdr:row>26</xdr:row>
      <xdr:rowOff>293688</xdr:rowOff>
    </xdr:to>
    <xdr:pic>
      <xdr:nvPicPr>
        <xdr:cNvPr id="1245" name="Picture 1244">
          <a:extLst>
            <a:ext uri="{FF2B5EF4-FFF2-40B4-BE49-F238E27FC236}">
              <a16:creationId xmlns:a16="http://schemas.microsoft.com/office/drawing/2014/main" id="{DB1D8E7E-6FD7-F4AF-0E6C-66ECB7B6FC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8964613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26</xdr:row>
      <xdr:rowOff>39688</xdr:rowOff>
    </xdr:from>
    <xdr:to>
      <xdr:col>87</xdr:col>
      <xdr:colOff>460375</xdr:colOff>
      <xdr:row>26</xdr:row>
      <xdr:rowOff>293688</xdr:rowOff>
    </xdr:to>
    <xdr:pic>
      <xdr:nvPicPr>
        <xdr:cNvPr id="1248" name="Picture 1247">
          <a:extLst>
            <a:ext uri="{FF2B5EF4-FFF2-40B4-BE49-F238E27FC236}">
              <a16:creationId xmlns:a16="http://schemas.microsoft.com/office/drawing/2014/main" id="{C6D94F6C-3C8A-CCB1-6F0F-E77ABA4E45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8964613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181211</xdr:colOff>
      <xdr:row>26</xdr:row>
      <xdr:rowOff>39688</xdr:rowOff>
    </xdr:from>
    <xdr:to>
      <xdr:col>195</xdr:col>
      <xdr:colOff>485543</xdr:colOff>
      <xdr:row>26</xdr:row>
      <xdr:rowOff>293688</xdr:rowOff>
    </xdr:to>
    <xdr:pic>
      <xdr:nvPicPr>
        <xdr:cNvPr id="1251" name="Picture 1250">
          <a:extLst>
            <a:ext uri="{FF2B5EF4-FFF2-40B4-BE49-F238E27FC236}">
              <a16:creationId xmlns:a16="http://schemas.microsoft.com/office/drawing/2014/main" id="{A6B279D4-1F6D-9C7A-CE2C-9347E70325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577086" y="8964613"/>
          <a:ext cx="304332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26</xdr:row>
      <xdr:rowOff>39688</xdr:rowOff>
    </xdr:from>
    <xdr:to>
      <xdr:col>207</xdr:col>
      <xdr:colOff>460375</xdr:colOff>
      <xdr:row>26</xdr:row>
      <xdr:rowOff>293688</xdr:rowOff>
    </xdr:to>
    <xdr:pic>
      <xdr:nvPicPr>
        <xdr:cNvPr id="1254" name="Picture 1253">
          <a:extLst>
            <a:ext uri="{FF2B5EF4-FFF2-40B4-BE49-F238E27FC236}">
              <a16:creationId xmlns:a16="http://schemas.microsoft.com/office/drawing/2014/main" id="{81284607-6B5C-3FE9-F058-CCD23BB9C2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8964613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26</xdr:row>
      <xdr:rowOff>39688</xdr:rowOff>
    </xdr:from>
    <xdr:to>
      <xdr:col>231</xdr:col>
      <xdr:colOff>460375</xdr:colOff>
      <xdr:row>26</xdr:row>
      <xdr:rowOff>293688</xdr:rowOff>
    </xdr:to>
    <xdr:pic>
      <xdr:nvPicPr>
        <xdr:cNvPr id="1257" name="Picture 1256">
          <a:extLst>
            <a:ext uri="{FF2B5EF4-FFF2-40B4-BE49-F238E27FC236}">
              <a16:creationId xmlns:a16="http://schemas.microsoft.com/office/drawing/2014/main" id="{5DCF084A-AAB9-7D36-F97C-D401172727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8964613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26</xdr:row>
      <xdr:rowOff>39688</xdr:rowOff>
    </xdr:from>
    <xdr:to>
      <xdr:col>219</xdr:col>
      <xdr:colOff>460375</xdr:colOff>
      <xdr:row>26</xdr:row>
      <xdr:rowOff>293688</xdr:rowOff>
    </xdr:to>
    <xdr:pic>
      <xdr:nvPicPr>
        <xdr:cNvPr id="1260" name="Picture 1259">
          <a:extLst>
            <a:ext uri="{FF2B5EF4-FFF2-40B4-BE49-F238E27FC236}">
              <a16:creationId xmlns:a16="http://schemas.microsoft.com/office/drawing/2014/main" id="{8F7FC355-B234-5A0A-29BB-D100CAA3CD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896461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263525</xdr:colOff>
      <xdr:row>27</xdr:row>
      <xdr:rowOff>39688</xdr:rowOff>
    </xdr:from>
    <xdr:to>
      <xdr:col>3</xdr:col>
      <xdr:colOff>403225</xdr:colOff>
      <xdr:row>27</xdr:row>
      <xdr:rowOff>293688</xdr:rowOff>
    </xdr:to>
    <xdr:pic>
      <xdr:nvPicPr>
        <xdr:cNvPr id="1263" name="Picture 1262">
          <a:extLst>
            <a:ext uri="{FF2B5EF4-FFF2-40B4-BE49-F238E27FC236}">
              <a16:creationId xmlns:a16="http://schemas.microsoft.com/office/drawing/2014/main" id="{E24ECBD5-F210-01F9-F35F-A1CC5A9946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7175" y="9297988"/>
          <a:ext cx="1397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27</xdr:row>
      <xdr:rowOff>39688</xdr:rowOff>
    </xdr:from>
    <xdr:to>
      <xdr:col>135</xdr:col>
      <xdr:colOff>460375</xdr:colOff>
      <xdr:row>27</xdr:row>
      <xdr:rowOff>293688</xdr:rowOff>
    </xdr:to>
    <xdr:pic>
      <xdr:nvPicPr>
        <xdr:cNvPr id="1266" name="Picture 1265">
          <a:extLst>
            <a:ext uri="{FF2B5EF4-FFF2-40B4-BE49-F238E27FC236}">
              <a16:creationId xmlns:a16="http://schemas.microsoft.com/office/drawing/2014/main" id="{28A24892-6D49-C1CE-2E12-7F964B7E96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9297988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27</xdr:row>
      <xdr:rowOff>39688</xdr:rowOff>
    </xdr:from>
    <xdr:to>
      <xdr:col>27</xdr:col>
      <xdr:colOff>460375</xdr:colOff>
      <xdr:row>27</xdr:row>
      <xdr:rowOff>293688</xdr:rowOff>
    </xdr:to>
    <xdr:pic>
      <xdr:nvPicPr>
        <xdr:cNvPr id="1269" name="Picture 1268">
          <a:extLst>
            <a:ext uri="{FF2B5EF4-FFF2-40B4-BE49-F238E27FC236}">
              <a16:creationId xmlns:a16="http://schemas.microsoft.com/office/drawing/2014/main" id="{6046FF9C-4E87-9307-A3C7-1ABE04B5A6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9297988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27</xdr:row>
      <xdr:rowOff>39688</xdr:rowOff>
    </xdr:from>
    <xdr:to>
      <xdr:col>195</xdr:col>
      <xdr:colOff>460375</xdr:colOff>
      <xdr:row>27</xdr:row>
      <xdr:rowOff>293688</xdr:rowOff>
    </xdr:to>
    <xdr:pic>
      <xdr:nvPicPr>
        <xdr:cNvPr id="1272" name="Picture 1271">
          <a:extLst>
            <a:ext uri="{FF2B5EF4-FFF2-40B4-BE49-F238E27FC236}">
              <a16:creationId xmlns:a16="http://schemas.microsoft.com/office/drawing/2014/main" id="{27A638A7-0B62-1021-213A-96FE04BE29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9297988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181209</xdr:colOff>
      <xdr:row>27</xdr:row>
      <xdr:rowOff>39688</xdr:rowOff>
    </xdr:from>
    <xdr:to>
      <xdr:col>39</xdr:col>
      <xdr:colOff>485541</xdr:colOff>
      <xdr:row>27</xdr:row>
      <xdr:rowOff>293688</xdr:rowOff>
    </xdr:to>
    <xdr:pic>
      <xdr:nvPicPr>
        <xdr:cNvPr id="1275" name="Picture 1274">
          <a:extLst>
            <a:ext uri="{FF2B5EF4-FFF2-40B4-BE49-F238E27FC236}">
              <a16:creationId xmlns:a16="http://schemas.microsoft.com/office/drawing/2014/main" id="{200B22DB-21AF-FFA2-E146-BE16CF97FA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79559" y="9297988"/>
          <a:ext cx="304332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27</xdr:row>
      <xdr:rowOff>39688</xdr:rowOff>
    </xdr:from>
    <xdr:to>
      <xdr:col>207</xdr:col>
      <xdr:colOff>460375</xdr:colOff>
      <xdr:row>27</xdr:row>
      <xdr:rowOff>293688</xdr:rowOff>
    </xdr:to>
    <xdr:pic>
      <xdr:nvPicPr>
        <xdr:cNvPr id="1278" name="Picture 1277">
          <a:extLst>
            <a:ext uri="{FF2B5EF4-FFF2-40B4-BE49-F238E27FC236}">
              <a16:creationId xmlns:a16="http://schemas.microsoft.com/office/drawing/2014/main" id="{C4FEBA59-AB07-79AC-7D5D-33C8CF0848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9297988"/>
          <a:ext cx="254000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27</xdr:row>
      <xdr:rowOff>39688</xdr:rowOff>
    </xdr:from>
    <xdr:to>
      <xdr:col>63</xdr:col>
      <xdr:colOff>460375</xdr:colOff>
      <xdr:row>27</xdr:row>
      <xdr:rowOff>293688</xdr:rowOff>
    </xdr:to>
    <xdr:pic>
      <xdr:nvPicPr>
        <xdr:cNvPr id="1281" name="Picture 1280">
          <a:extLst>
            <a:ext uri="{FF2B5EF4-FFF2-40B4-BE49-F238E27FC236}">
              <a16:creationId xmlns:a16="http://schemas.microsoft.com/office/drawing/2014/main" id="{9D078699-507D-C57A-C047-E9EC928CF3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9297988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223131</xdr:colOff>
      <xdr:row>27</xdr:row>
      <xdr:rowOff>39688</xdr:rowOff>
    </xdr:from>
    <xdr:to>
      <xdr:col>159</xdr:col>
      <xdr:colOff>443617</xdr:colOff>
      <xdr:row>27</xdr:row>
      <xdr:rowOff>293688</xdr:rowOff>
    </xdr:to>
    <xdr:pic>
      <xdr:nvPicPr>
        <xdr:cNvPr id="1284" name="Picture 1283">
          <a:extLst>
            <a:ext uri="{FF2B5EF4-FFF2-40B4-BE49-F238E27FC236}">
              <a16:creationId xmlns:a16="http://schemas.microsoft.com/office/drawing/2014/main" id="{0283ADEF-FD1C-505C-ABFD-A896031224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816281" y="9297988"/>
          <a:ext cx="220486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27</xdr:row>
      <xdr:rowOff>39688</xdr:rowOff>
    </xdr:from>
    <xdr:to>
      <xdr:col>87</xdr:col>
      <xdr:colOff>460375</xdr:colOff>
      <xdr:row>27</xdr:row>
      <xdr:rowOff>293688</xdr:rowOff>
    </xdr:to>
    <xdr:pic>
      <xdr:nvPicPr>
        <xdr:cNvPr id="1287" name="Picture 1286">
          <a:extLst>
            <a:ext uri="{FF2B5EF4-FFF2-40B4-BE49-F238E27FC236}">
              <a16:creationId xmlns:a16="http://schemas.microsoft.com/office/drawing/2014/main" id="{88237B33-FC1F-4A28-733C-44A99DB992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929798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27</xdr:row>
      <xdr:rowOff>39688</xdr:rowOff>
    </xdr:from>
    <xdr:to>
      <xdr:col>15</xdr:col>
      <xdr:colOff>460375</xdr:colOff>
      <xdr:row>27</xdr:row>
      <xdr:rowOff>293688</xdr:rowOff>
    </xdr:to>
    <xdr:pic>
      <xdr:nvPicPr>
        <xdr:cNvPr id="1290" name="Picture 1289">
          <a:extLst>
            <a:ext uri="{FF2B5EF4-FFF2-40B4-BE49-F238E27FC236}">
              <a16:creationId xmlns:a16="http://schemas.microsoft.com/office/drawing/2014/main" id="{CAFDC87A-70F7-76BF-9CB6-D288095723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9297988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27</xdr:row>
      <xdr:rowOff>39688</xdr:rowOff>
    </xdr:from>
    <xdr:to>
      <xdr:col>99</xdr:col>
      <xdr:colOff>460375</xdr:colOff>
      <xdr:row>27</xdr:row>
      <xdr:rowOff>293688</xdr:rowOff>
    </xdr:to>
    <xdr:pic>
      <xdr:nvPicPr>
        <xdr:cNvPr id="1293" name="Picture 1292">
          <a:extLst>
            <a:ext uri="{FF2B5EF4-FFF2-40B4-BE49-F238E27FC236}">
              <a16:creationId xmlns:a16="http://schemas.microsoft.com/office/drawing/2014/main" id="{9E5FC32E-32CF-D08E-CCCA-24BB9D9C81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9297988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27</xdr:row>
      <xdr:rowOff>39688</xdr:rowOff>
    </xdr:from>
    <xdr:to>
      <xdr:col>231</xdr:col>
      <xdr:colOff>460375</xdr:colOff>
      <xdr:row>27</xdr:row>
      <xdr:rowOff>293688</xdr:rowOff>
    </xdr:to>
    <xdr:pic>
      <xdr:nvPicPr>
        <xdr:cNvPr id="1296" name="Picture 1295">
          <a:extLst>
            <a:ext uri="{FF2B5EF4-FFF2-40B4-BE49-F238E27FC236}">
              <a16:creationId xmlns:a16="http://schemas.microsoft.com/office/drawing/2014/main" id="{2B99B7B7-9595-47C0-13E6-C27F09A1D3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9297988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27</xdr:row>
      <xdr:rowOff>39688</xdr:rowOff>
    </xdr:from>
    <xdr:to>
      <xdr:col>111</xdr:col>
      <xdr:colOff>460375</xdr:colOff>
      <xdr:row>27</xdr:row>
      <xdr:rowOff>293688</xdr:rowOff>
    </xdr:to>
    <xdr:pic>
      <xdr:nvPicPr>
        <xdr:cNvPr id="1299" name="Picture 1298">
          <a:extLst>
            <a:ext uri="{FF2B5EF4-FFF2-40B4-BE49-F238E27FC236}">
              <a16:creationId xmlns:a16="http://schemas.microsoft.com/office/drawing/2014/main" id="{C3C4DA1A-EC32-A095-0F20-8B9018C5ED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9297988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27</xdr:row>
      <xdr:rowOff>39688</xdr:rowOff>
    </xdr:from>
    <xdr:to>
      <xdr:col>75</xdr:col>
      <xdr:colOff>460375</xdr:colOff>
      <xdr:row>27</xdr:row>
      <xdr:rowOff>293688</xdr:rowOff>
    </xdr:to>
    <xdr:pic>
      <xdr:nvPicPr>
        <xdr:cNvPr id="1302" name="Picture 1301">
          <a:extLst>
            <a:ext uri="{FF2B5EF4-FFF2-40B4-BE49-F238E27FC236}">
              <a16:creationId xmlns:a16="http://schemas.microsoft.com/office/drawing/2014/main" id="{59318F19-A6D8-6CE4-D713-A49F99E03F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9297988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27</xdr:row>
      <xdr:rowOff>39688</xdr:rowOff>
    </xdr:from>
    <xdr:to>
      <xdr:col>147</xdr:col>
      <xdr:colOff>460375</xdr:colOff>
      <xdr:row>27</xdr:row>
      <xdr:rowOff>293688</xdr:rowOff>
    </xdr:to>
    <xdr:pic>
      <xdr:nvPicPr>
        <xdr:cNvPr id="1305" name="Picture 1304">
          <a:extLst>
            <a:ext uri="{FF2B5EF4-FFF2-40B4-BE49-F238E27FC236}">
              <a16:creationId xmlns:a16="http://schemas.microsoft.com/office/drawing/2014/main" id="{C16395B7-AD05-3750-2441-3A115AF242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9297988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27</xdr:row>
      <xdr:rowOff>39688</xdr:rowOff>
    </xdr:from>
    <xdr:to>
      <xdr:col>51</xdr:col>
      <xdr:colOff>460375</xdr:colOff>
      <xdr:row>27</xdr:row>
      <xdr:rowOff>293688</xdr:rowOff>
    </xdr:to>
    <xdr:pic>
      <xdr:nvPicPr>
        <xdr:cNvPr id="1308" name="Picture 1307">
          <a:extLst>
            <a:ext uri="{FF2B5EF4-FFF2-40B4-BE49-F238E27FC236}">
              <a16:creationId xmlns:a16="http://schemas.microsoft.com/office/drawing/2014/main" id="{E3F31240-3E42-2A63-F305-EA6846C02D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9297988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230001</xdr:colOff>
      <xdr:row>27</xdr:row>
      <xdr:rowOff>39688</xdr:rowOff>
    </xdr:from>
    <xdr:to>
      <xdr:col>171</xdr:col>
      <xdr:colOff>436745</xdr:colOff>
      <xdr:row>27</xdr:row>
      <xdr:rowOff>293688</xdr:rowOff>
    </xdr:to>
    <xdr:pic>
      <xdr:nvPicPr>
        <xdr:cNvPr id="1311" name="Picture 1310">
          <a:extLst>
            <a:ext uri="{FF2B5EF4-FFF2-40B4-BE49-F238E27FC236}">
              <a16:creationId xmlns:a16="http://schemas.microsoft.com/office/drawing/2014/main" id="{48C718B1-3F3E-0E6F-C1F5-4996E11DA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90726" y="9297988"/>
          <a:ext cx="206744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27</xdr:row>
      <xdr:rowOff>39688</xdr:rowOff>
    </xdr:from>
    <xdr:to>
      <xdr:col>123</xdr:col>
      <xdr:colOff>460375</xdr:colOff>
      <xdr:row>27</xdr:row>
      <xdr:rowOff>293688</xdr:rowOff>
    </xdr:to>
    <xdr:pic>
      <xdr:nvPicPr>
        <xdr:cNvPr id="1314" name="Picture 1313">
          <a:extLst>
            <a:ext uri="{FF2B5EF4-FFF2-40B4-BE49-F238E27FC236}">
              <a16:creationId xmlns:a16="http://schemas.microsoft.com/office/drawing/2014/main" id="{3C60E924-E6F9-DC72-FA72-7D79AB3BA3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9297988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27</xdr:row>
      <xdr:rowOff>39688</xdr:rowOff>
    </xdr:from>
    <xdr:to>
      <xdr:col>219</xdr:col>
      <xdr:colOff>460375</xdr:colOff>
      <xdr:row>27</xdr:row>
      <xdr:rowOff>293688</xdr:rowOff>
    </xdr:to>
    <xdr:pic>
      <xdr:nvPicPr>
        <xdr:cNvPr id="1317" name="Picture 1316">
          <a:extLst>
            <a:ext uri="{FF2B5EF4-FFF2-40B4-BE49-F238E27FC236}">
              <a16:creationId xmlns:a16="http://schemas.microsoft.com/office/drawing/2014/main" id="{F0CDBE01-9C65-79FB-0B5C-6DE21DA160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9297988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27</xdr:row>
      <xdr:rowOff>39688</xdr:rowOff>
    </xdr:from>
    <xdr:to>
      <xdr:col>183</xdr:col>
      <xdr:colOff>460375</xdr:colOff>
      <xdr:row>27</xdr:row>
      <xdr:rowOff>293688</xdr:rowOff>
    </xdr:to>
    <xdr:pic>
      <xdr:nvPicPr>
        <xdr:cNvPr id="1320" name="Picture 1319">
          <a:extLst>
            <a:ext uri="{FF2B5EF4-FFF2-40B4-BE49-F238E27FC236}">
              <a16:creationId xmlns:a16="http://schemas.microsoft.com/office/drawing/2014/main" id="{FC7CE9AF-BAC7-06B9-2426-1101E44F63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929798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28</xdr:row>
      <xdr:rowOff>39688</xdr:rowOff>
    </xdr:from>
    <xdr:to>
      <xdr:col>15</xdr:col>
      <xdr:colOff>460375</xdr:colOff>
      <xdr:row>28</xdr:row>
      <xdr:rowOff>293688</xdr:rowOff>
    </xdr:to>
    <xdr:pic>
      <xdr:nvPicPr>
        <xdr:cNvPr id="1323" name="Picture 1322">
          <a:extLst>
            <a:ext uri="{FF2B5EF4-FFF2-40B4-BE49-F238E27FC236}">
              <a16:creationId xmlns:a16="http://schemas.microsoft.com/office/drawing/2014/main" id="{CA5979F0-A68C-D8E1-AEC0-832D0B82C4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9631363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28</xdr:row>
      <xdr:rowOff>39688</xdr:rowOff>
    </xdr:from>
    <xdr:to>
      <xdr:col>99</xdr:col>
      <xdr:colOff>460375</xdr:colOff>
      <xdr:row>28</xdr:row>
      <xdr:rowOff>293688</xdr:rowOff>
    </xdr:to>
    <xdr:pic>
      <xdr:nvPicPr>
        <xdr:cNvPr id="1326" name="Picture 1325">
          <a:extLst>
            <a:ext uri="{FF2B5EF4-FFF2-40B4-BE49-F238E27FC236}">
              <a16:creationId xmlns:a16="http://schemas.microsoft.com/office/drawing/2014/main" id="{CC58A59D-7C0A-78FB-6ED4-F227AE9E49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9631363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28</xdr:row>
      <xdr:rowOff>39688</xdr:rowOff>
    </xdr:from>
    <xdr:to>
      <xdr:col>51</xdr:col>
      <xdr:colOff>460375</xdr:colOff>
      <xdr:row>28</xdr:row>
      <xdr:rowOff>293688</xdr:rowOff>
    </xdr:to>
    <xdr:pic>
      <xdr:nvPicPr>
        <xdr:cNvPr id="1329" name="Picture 1328">
          <a:extLst>
            <a:ext uri="{FF2B5EF4-FFF2-40B4-BE49-F238E27FC236}">
              <a16:creationId xmlns:a16="http://schemas.microsoft.com/office/drawing/2014/main" id="{1B548096-C881-3398-E726-8A376E3F65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9631363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28</xdr:row>
      <xdr:rowOff>39688</xdr:rowOff>
    </xdr:from>
    <xdr:to>
      <xdr:col>27</xdr:col>
      <xdr:colOff>460375</xdr:colOff>
      <xdr:row>28</xdr:row>
      <xdr:rowOff>293688</xdr:rowOff>
    </xdr:to>
    <xdr:pic>
      <xdr:nvPicPr>
        <xdr:cNvPr id="1332" name="Picture 1331">
          <a:extLst>
            <a:ext uri="{FF2B5EF4-FFF2-40B4-BE49-F238E27FC236}">
              <a16:creationId xmlns:a16="http://schemas.microsoft.com/office/drawing/2014/main" id="{A5E1887F-0C83-E296-5C19-F48EC14BD4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9631363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28</xdr:row>
      <xdr:rowOff>39688</xdr:rowOff>
    </xdr:from>
    <xdr:to>
      <xdr:col>75</xdr:col>
      <xdr:colOff>460375</xdr:colOff>
      <xdr:row>28</xdr:row>
      <xdr:rowOff>293688</xdr:rowOff>
    </xdr:to>
    <xdr:pic>
      <xdr:nvPicPr>
        <xdr:cNvPr id="1335" name="Picture 1334">
          <a:extLst>
            <a:ext uri="{FF2B5EF4-FFF2-40B4-BE49-F238E27FC236}">
              <a16:creationId xmlns:a16="http://schemas.microsoft.com/office/drawing/2014/main" id="{FF01DF76-1F5C-B505-F69B-72647B7F4C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9631363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28</xdr:row>
      <xdr:rowOff>39688</xdr:rowOff>
    </xdr:from>
    <xdr:to>
      <xdr:col>39</xdr:col>
      <xdr:colOff>460375</xdr:colOff>
      <xdr:row>28</xdr:row>
      <xdr:rowOff>293688</xdr:rowOff>
    </xdr:to>
    <xdr:pic>
      <xdr:nvPicPr>
        <xdr:cNvPr id="1338" name="Picture 1337">
          <a:extLst>
            <a:ext uri="{FF2B5EF4-FFF2-40B4-BE49-F238E27FC236}">
              <a16:creationId xmlns:a16="http://schemas.microsoft.com/office/drawing/2014/main" id="{5B1867C4-9AA1-7D59-13B0-72D2472D07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9631363"/>
          <a:ext cx="254000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28</xdr:row>
      <xdr:rowOff>39688</xdr:rowOff>
    </xdr:from>
    <xdr:to>
      <xdr:col>123</xdr:col>
      <xdr:colOff>460375</xdr:colOff>
      <xdr:row>28</xdr:row>
      <xdr:rowOff>293688</xdr:rowOff>
    </xdr:to>
    <xdr:pic>
      <xdr:nvPicPr>
        <xdr:cNvPr id="1341" name="Picture 1340">
          <a:extLst>
            <a:ext uri="{FF2B5EF4-FFF2-40B4-BE49-F238E27FC236}">
              <a16:creationId xmlns:a16="http://schemas.microsoft.com/office/drawing/2014/main" id="{727B315E-F2C5-7E26-985C-F35D10F286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9631363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230001</xdr:colOff>
      <xdr:row>28</xdr:row>
      <xdr:rowOff>39688</xdr:rowOff>
    </xdr:from>
    <xdr:to>
      <xdr:col>111</xdr:col>
      <xdr:colOff>436745</xdr:colOff>
      <xdr:row>28</xdr:row>
      <xdr:rowOff>293688</xdr:rowOff>
    </xdr:to>
    <xdr:pic>
      <xdr:nvPicPr>
        <xdr:cNvPr id="1344" name="Picture 1343">
          <a:extLst>
            <a:ext uri="{FF2B5EF4-FFF2-40B4-BE49-F238E27FC236}">
              <a16:creationId xmlns:a16="http://schemas.microsoft.com/office/drawing/2014/main" id="{539AE5BB-B663-5048-F54E-B185B2B2EA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52851" y="9631363"/>
          <a:ext cx="206744" cy="254000"/>
        </a:xfrm>
        <a:prstGeom prst="rect">
          <a:avLst/>
        </a:prstGeom>
      </xdr:spPr>
    </xdr:pic>
    <xdr:clientData/>
  </xdr:twoCellAnchor>
  <xdr:twoCellAnchor>
    <xdr:from>
      <xdr:col>135</xdr:col>
      <xdr:colOff>223131</xdr:colOff>
      <xdr:row>28</xdr:row>
      <xdr:rowOff>39688</xdr:rowOff>
    </xdr:from>
    <xdr:to>
      <xdr:col>135</xdr:col>
      <xdr:colOff>443617</xdr:colOff>
      <xdr:row>28</xdr:row>
      <xdr:rowOff>293688</xdr:rowOff>
    </xdr:to>
    <xdr:pic>
      <xdr:nvPicPr>
        <xdr:cNvPr id="1347" name="Picture 1346">
          <a:extLst>
            <a:ext uri="{FF2B5EF4-FFF2-40B4-BE49-F238E27FC236}">
              <a16:creationId xmlns:a16="http://schemas.microsoft.com/office/drawing/2014/main" id="{298D35C3-9C81-EF12-3FFC-2FD1B01F3D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81131" y="9631363"/>
          <a:ext cx="220486" cy="254000"/>
        </a:xfrm>
        <a:prstGeom prst="rect">
          <a:avLst/>
        </a:prstGeom>
      </xdr:spPr>
    </xdr:pic>
    <xdr:clientData/>
  </xdr:twoCellAnchor>
  <xdr:twoCellAnchor>
    <xdr:from>
      <xdr:col>63</xdr:col>
      <xdr:colOff>263525</xdr:colOff>
      <xdr:row>28</xdr:row>
      <xdr:rowOff>39688</xdr:rowOff>
    </xdr:from>
    <xdr:to>
      <xdr:col>63</xdr:col>
      <xdr:colOff>403225</xdr:colOff>
      <xdr:row>28</xdr:row>
      <xdr:rowOff>293688</xdr:rowOff>
    </xdr:to>
    <xdr:pic>
      <xdr:nvPicPr>
        <xdr:cNvPr id="1350" name="Picture 1349">
          <a:extLst>
            <a:ext uri="{FF2B5EF4-FFF2-40B4-BE49-F238E27FC236}">
              <a16:creationId xmlns:a16="http://schemas.microsoft.com/office/drawing/2014/main" id="{F2C2F2EB-D55A-6C24-3132-D546036BDE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16075" y="9631363"/>
          <a:ext cx="1397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28</xdr:row>
      <xdr:rowOff>39688</xdr:rowOff>
    </xdr:from>
    <xdr:to>
      <xdr:col>159</xdr:col>
      <xdr:colOff>460375</xdr:colOff>
      <xdr:row>28</xdr:row>
      <xdr:rowOff>293688</xdr:rowOff>
    </xdr:to>
    <xdr:pic>
      <xdr:nvPicPr>
        <xdr:cNvPr id="1353" name="Picture 1352">
          <a:extLst>
            <a:ext uri="{FF2B5EF4-FFF2-40B4-BE49-F238E27FC236}">
              <a16:creationId xmlns:a16="http://schemas.microsoft.com/office/drawing/2014/main" id="{2421DFE6-4993-ECBD-3998-6B7E13866B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9631363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28</xdr:row>
      <xdr:rowOff>39688</xdr:rowOff>
    </xdr:from>
    <xdr:to>
      <xdr:col>147</xdr:col>
      <xdr:colOff>460375</xdr:colOff>
      <xdr:row>28</xdr:row>
      <xdr:rowOff>293688</xdr:rowOff>
    </xdr:to>
    <xdr:pic>
      <xdr:nvPicPr>
        <xdr:cNvPr id="1356" name="Picture 1355">
          <a:extLst>
            <a:ext uri="{FF2B5EF4-FFF2-40B4-BE49-F238E27FC236}">
              <a16:creationId xmlns:a16="http://schemas.microsoft.com/office/drawing/2014/main" id="{AB00CF64-54F9-90D3-451D-38BC7EBA75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9631363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28</xdr:row>
      <xdr:rowOff>39688</xdr:rowOff>
    </xdr:from>
    <xdr:to>
      <xdr:col>183</xdr:col>
      <xdr:colOff>460375</xdr:colOff>
      <xdr:row>28</xdr:row>
      <xdr:rowOff>293688</xdr:rowOff>
    </xdr:to>
    <xdr:pic>
      <xdr:nvPicPr>
        <xdr:cNvPr id="1359" name="Picture 1358">
          <a:extLst>
            <a:ext uri="{FF2B5EF4-FFF2-40B4-BE49-F238E27FC236}">
              <a16:creationId xmlns:a16="http://schemas.microsoft.com/office/drawing/2014/main" id="{A42775AF-6692-D48B-E0FB-1F674DEDB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963136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28</xdr:row>
      <xdr:rowOff>39688</xdr:rowOff>
    </xdr:from>
    <xdr:to>
      <xdr:col>3</xdr:col>
      <xdr:colOff>460375</xdr:colOff>
      <xdr:row>28</xdr:row>
      <xdr:rowOff>293688</xdr:rowOff>
    </xdr:to>
    <xdr:pic>
      <xdr:nvPicPr>
        <xdr:cNvPr id="1362" name="Picture 1361">
          <a:extLst>
            <a:ext uri="{FF2B5EF4-FFF2-40B4-BE49-F238E27FC236}">
              <a16:creationId xmlns:a16="http://schemas.microsoft.com/office/drawing/2014/main" id="{1A90CB52-8607-F74C-0B66-137E33A37C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9631363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28</xdr:row>
      <xdr:rowOff>39688</xdr:rowOff>
    </xdr:from>
    <xdr:to>
      <xdr:col>195</xdr:col>
      <xdr:colOff>460375</xdr:colOff>
      <xdr:row>28</xdr:row>
      <xdr:rowOff>293688</xdr:rowOff>
    </xdr:to>
    <xdr:pic>
      <xdr:nvPicPr>
        <xdr:cNvPr id="1365" name="Picture 1364">
          <a:extLst>
            <a:ext uri="{FF2B5EF4-FFF2-40B4-BE49-F238E27FC236}">
              <a16:creationId xmlns:a16="http://schemas.microsoft.com/office/drawing/2014/main" id="{C55D46B7-F2F5-144E-1752-7EB133F7F3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9631363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28</xdr:row>
      <xdr:rowOff>39688</xdr:rowOff>
    </xdr:from>
    <xdr:to>
      <xdr:col>219</xdr:col>
      <xdr:colOff>460375</xdr:colOff>
      <xdr:row>28</xdr:row>
      <xdr:rowOff>293688</xdr:rowOff>
    </xdr:to>
    <xdr:pic>
      <xdr:nvPicPr>
        <xdr:cNvPr id="1368" name="Picture 1367">
          <a:extLst>
            <a:ext uri="{FF2B5EF4-FFF2-40B4-BE49-F238E27FC236}">
              <a16:creationId xmlns:a16="http://schemas.microsoft.com/office/drawing/2014/main" id="{F208822D-59A1-2B75-FC35-94955A1D93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9631363"/>
          <a:ext cx="254000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28</xdr:row>
      <xdr:rowOff>39688</xdr:rowOff>
    </xdr:from>
    <xdr:to>
      <xdr:col>207</xdr:col>
      <xdr:colOff>460375</xdr:colOff>
      <xdr:row>28</xdr:row>
      <xdr:rowOff>293688</xdr:rowOff>
    </xdr:to>
    <xdr:pic>
      <xdr:nvPicPr>
        <xdr:cNvPr id="1371" name="Picture 1370">
          <a:extLst>
            <a:ext uri="{FF2B5EF4-FFF2-40B4-BE49-F238E27FC236}">
              <a16:creationId xmlns:a16="http://schemas.microsoft.com/office/drawing/2014/main" id="{614EC82F-B743-D26A-3A2D-8B34C6D0C9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9631363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181211</xdr:colOff>
      <xdr:row>28</xdr:row>
      <xdr:rowOff>39688</xdr:rowOff>
    </xdr:from>
    <xdr:to>
      <xdr:col>87</xdr:col>
      <xdr:colOff>485543</xdr:colOff>
      <xdr:row>28</xdr:row>
      <xdr:rowOff>293688</xdr:rowOff>
    </xdr:to>
    <xdr:pic>
      <xdr:nvPicPr>
        <xdr:cNvPr id="1374" name="Picture 1373">
          <a:extLst>
            <a:ext uri="{FF2B5EF4-FFF2-40B4-BE49-F238E27FC236}">
              <a16:creationId xmlns:a16="http://schemas.microsoft.com/office/drawing/2014/main" id="{3712431B-5F75-A23E-D0EB-2E70B3854C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68911" y="9631363"/>
          <a:ext cx="304332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28</xdr:row>
      <xdr:rowOff>39688</xdr:rowOff>
    </xdr:from>
    <xdr:to>
      <xdr:col>231</xdr:col>
      <xdr:colOff>460375</xdr:colOff>
      <xdr:row>28</xdr:row>
      <xdr:rowOff>293688</xdr:rowOff>
    </xdr:to>
    <xdr:pic>
      <xdr:nvPicPr>
        <xdr:cNvPr id="1377" name="Picture 1376">
          <a:extLst>
            <a:ext uri="{FF2B5EF4-FFF2-40B4-BE49-F238E27FC236}">
              <a16:creationId xmlns:a16="http://schemas.microsoft.com/office/drawing/2014/main" id="{CF51F8DE-3CD3-A053-F672-B10B123ED3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9631363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28</xdr:row>
      <xdr:rowOff>39688</xdr:rowOff>
    </xdr:from>
    <xdr:to>
      <xdr:col>171</xdr:col>
      <xdr:colOff>460375</xdr:colOff>
      <xdr:row>28</xdr:row>
      <xdr:rowOff>293688</xdr:rowOff>
    </xdr:to>
    <xdr:pic>
      <xdr:nvPicPr>
        <xdr:cNvPr id="1380" name="Picture 1379">
          <a:extLst>
            <a:ext uri="{FF2B5EF4-FFF2-40B4-BE49-F238E27FC236}">
              <a16:creationId xmlns:a16="http://schemas.microsoft.com/office/drawing/2014/main" id="{F4E689F0-6AE7-2892-0BB8-4F11B41363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963136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29</xdr:row>
      <xdr:rowOff>39688</xdr:rowOff>
    </xdr:from>
    <xdr:to>
      <xdr:col>3</xdr:col>
      <xdr:colOff>460375</xdr:colOff>
      <xdr:row>29</xdr:row>
      <xdr:rowOff>293688</xdr:rowOff>
    </xdr:to>
    <xdr:pic>
      <xdr:nvPicPr>
        <xdr:cNvPr id="1383" name="Picture 1382">
          <a:extLst>
            <a:ext uri="{FF2B5EF4-FFF2-40B4-BE49-F238E27FC236}">
              <a16:creationId xmlns:a16="http://schemas.microsoft.com/office/drawing/2014/main" id="{88EA6DCF-3A6D-0C7F-3214-63E8C9C23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9964738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29</xdr:row>
      <xdr:rowOff>39688</xdr:rowOff>
    </xdr:from>
    <xdr:to>
      <xdr:col>159</xdr:col>
      <xdr:colOff>460375</xdr:colOff>
      <xdr:row>29</xdr:row>
      <xdr:rowOff>293688</xdr:rowOff>
    </xdr:to>
    <xdr:pic>
      <xdr:nvPicPr>
        <xdr:cNvPr id="1386" name="Picture 1385">
          <a:extLst>
            <a:ext uri="{FF2B5EF4-FFF2-40B4-BE49-F238E27FC236}">
              <a16:creationId xmlns:a16="http://schemas.microsoft.com/office/drawing/2014/main" id="{8A129A5E-255B-6FD8-0D1E-0479AE8DB5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9964738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263525</xdr:colOff>
      <xdr:row>29</xdr:row>
      <xdr:rowOff>39688</xdr:rowOff>
    </xdr:from>
    <xdr:to>
      <xdr:col>27</xdr:col>
      <xdr:colOff>403225</xdr:colOff>
      <xdr:row>29</xdr:row>
      <xdr:rowOff>293688</xdr:rowOff>
    </xdr:to>
    <xdr:pic>
      <xdr:nvPicPr>
        <xdr:cNvPr id="1389" name="Picture 1388">
          <a:extLst>
            <a:ext uri="{FF2B5EF4-FFF2-40B4-BE49-F238E27FC236}">
              <a16:creationId xmlns:a16="http://schemas.microsoft.com/office/drawing/2014/main" id="{56804BD8-8487-2E9A-05D7-EE92F5C2AC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03825" y="9964738"/>
          <a:ext cx="1397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29</xdr:row>
      <xdr:rowOff>39688</xdr:rowOff>
    </xdr:from>
    <xdr:to>
      <xdr:col>135</xdr:col>
      <xdr:colOff>460375</xdr:colOff>
      <xdr:row>29</xdr:row>
      <xdr:rowOff>293688</xdr:rowOff>
    </xdr:to>
    <xdr:pic>
      <xdr:nvPicPr>
        <xdr:cNvPr id="1392" name="Picture 1391">
          <a:extLst>
            <a:ext uri="{FF2B5EF4-FFF2-40B4-BE49-F238E27FC236}">
              <a16:creationId xmlns:a16="http://schemas.microsoft.com/office/drawing/2014/main" id="{6E38659F-CC3D-2295-E73E-A931C870AA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9964738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29</xdr:row>
      <xdr:rowOff>39688</xdr:rowOff>
    </xdr:from>
    <xdr:to>
      <xdr:col>39</xdr:col>
      <xdr:colOff>460375</xdr:colOff>
      <xdr:row>29</xdr:row>
      <xdr:rowOff>293688</xdr:rowOff>
    </xdr:to>
    <xdr:pic>
      <xdr:nvPicPr>
        <xdr:cNvPr id="1395" name="Picture 1394">
          <a:extLst>
            <a:ext uri="{FF2B5EF4-FFF2-40B4-BE49-F238E27FC236}">
              <a16:creationId xmlns:a16="http://schemas.microsoft.com/office/drawing/2014/main" id="{C195ADB5-37A3-DA33-4A20-F35279BCE8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9964738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29</xdr:row>
      <xdr:rowOff>39688</xdr:rowOff>
    </xdr:from>
    <xdr:to>
      <xdr:col>183</xdr:col>
      <xdr:colOff>460375</xdr:colOff>
      <xdr:row>29</xdr:row>
      <xdr:rowOff>293688</xdr:rowOff>
    </xdr:to>
    <xdr:pic>
      <xdr:nvPicPr>
        <xdr:cNvPr id="1398" name="Picture 1397">
          <a:extLst>
            <a:ext uri="{FF2B5EF4-FFF2-40B4-BE49-F238E27FC236}">
              <a16:creationId xmlns:a16="http://schemas.microsoft.com/office/drawing/2014/main" id="{5576381F-5B3B-DD7F-5561-5641CF5C6B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9964738"/>
          <a:ext cx="254000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29</xdr:row>
      <xdr:rowOff>39688</xdr:rowOff>
    </xdr:from>
    <xdr:to>
      <xdr:col>63</xdr:col>
      <xdr:colOff>460375</xdr:colOff>
      <xdr:row>29</xdr:row>
      <xdr:rowOff>293688</xdr:rowOff>
    </xdr:to>
    <xdr:pic>
      <xdr:nvPicPr>
        <xdr:cNvPr id="1401" name="Picture 1400">
          <a:extLst>
            <a:ext uri="{FF2B5EF4-FFF2-40B4-BE49-F238E27FC236}">
              <a16:creationId xmlns:a16="http://schemas.microsoft.com/office/drawing/2014/main" id="{0C8E4A7F-279B-5122-5A64-1537D0E602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9964738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223131</xdr:colOff>
      <xdr:row>29</xdr:row>
      <xdr:rowOff>39688</xdr:rowOff>
    </xdr:from>
    <xdr:to>
      <xdr:col>195</xdr:col>
      <xdr:colOff>443617</xdr:colOff>
      <xdr:row>29</xdr:row>
      <xdr:rowOff>293688</xdr:rowOff>
    </xdr:to>
    <xdr:pic>
      <xdr:nvPicPr>
        <xdr:cNvPr id="1404" name="Picture 1403">
          <a:extLst>
            <a:ext uri="{FF2B5EF4-FFF2-40B4-BE49-F238E27FC236}">
              <a16:creationId xmlns:a16="http://schemas.microsoft.com/office/drawing/2014/main" id="{C1750B82-67DF-94F1-9DF0-7EFD58628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19006" y="9964738"/>
          <a:ext cx="220486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29</xdr:row>
      <xdr:rowOff>39688</xdr:rowOff>
    </xdr:from>
    <xdr:to>
      <xdr:col>87</xdr:col>
      <xdr:colOff>460375</xdr:colOff>
      <xdr:row>29</xdr:row>
      <xdr:rowOff>293688</xdr:rowOff>
    </xdr:to>
    <xdr:pic>
      <xdr:nvPicPr>
        <xdr:cNvPr id="1407" name="Picture 1406">
          <a:extLst>
            <a:ext uri="{FF2B5EF4-FFF2-40B4-BE49-F238E27FC236}">
              <a16:creationId xmlns:a16="http://schemas.microsoft.com/office/drawing/2014/main" id="{C68A52EE-8FA2-33B5-9BD2-697ECA35D9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9964738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29</xdr:row>
      <xdr:rowOff>39688</xdr:rowOff>
    </xdr:from>
    <xdr:to>
      <xdr:col>75</xdr:col>
      <xdr:colOff>460375</xdr:colOff>
      <xdr:row>29</xdr:row>
      <xdr:rowOff>293688</xdr:rowOff>
    </xdr:to>
    <xdr:pic>
      <xdr:nvPicPr>
        <xdr:cNvPr id="1410" name="Picture 1409">
          <a:extLst>
            <a:ext uri="{FF2B5EF4-FFF2-40B4-BE49-F238E27FC236}">
              <a16:creationId xmlns:a16="http://schemas.microsoft.com/office/drawing/2014/main" id="{09E37B26-3214-9EC0-51DF-7252805B28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9964738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230001</xdr:colOff>
      <xdr:row>29</xdr:row>
      <xdr:rowOff>39688</xdr:rowOff>
    </xdr:from>
    <xdr:to>
      <xdr:col>99</xdr:col>
      <xdr:colOff>436745</xdr:colOff>
      <xdr:row>29</xdr:row>
      <xdr:rowOff>293688</xdr:rowOff>
    </xdr:to>
    <xdr:pic>
      <xdr:nvPicPr>
        <xdr:cNvPr id="1413" name="Picture 1412">
          <a:extLst>
            <a:ext uri="{FF2B5EF4-FFF2-40B4-BE49-F238E27FC236}">
              <a16:creationId xmlns:a16="http://schemas.microsoft.com/office/drawing/2014/main" id="{B0CAD06F-7ADC-00DA-E4D7-7BAB5B0526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85276" y="9964738"/>
          <a:ext cx="206744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29</xdr:row>
      <xdr:rowOff>39688</xdr:rowOff>
    </xdr:from>
    <xdr:to>
      <xdr:col>123</xdr:col>
      <xdr:colOff>460375</xdr:colOff>
      <xdr:row>29</xdr:row>
      <xdr:rowOff>293688</xdr:rowOff>
    </xdr:to>
    <xdr:pic>
      <xdr:nvPicPr>
        <xdr:cNvPr id="1416" name="Picture 1415">
          <a:extLst>
            <a:ext uri="{FF2B5EF4-FFF2-40B4-BE49-F238E27FC236}">
              <a16:creationId xmlns:a16="http://schemas.microsoft.com/office/drawing/2014/main" id="{31ADD433-AFB4-88FF-40EF-8F87A7D2CF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9964738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29</xdr:row>
      <xdr:rowOff>39688</xdr:rowOff>
    </xdr:from>
    <xdr:to>
      <xdr:col>111</xdr:col>
      <xdr:colOff>460375</xdr:colOff>
      <xdr:row>29</xdr:row>
      <xdr:rowOff>293688</xdr:rowOff>
    </xdr:to>
    <xdr:pic>
      <xdr:nvPicPr>
        <xdr:cNvPr id="1419" name="Picture 1418">
          <a:extLst>
            <a:ext uri="{FF2B5EF4-FFF2-40B4-BE49-F238E27FC236}">
              <a16:creationId xmlns:a16="http://schemas.microsoft.com/office/drawing/2014/main" id="{FDDD7B0D-0F94-2B9C-9F3F-18C528A69E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9964738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29</xdr:row>
      <xdr:rowOff>39688</xdr:rowOff>
    </xdr:from>
    <xdr:to>
      <xdr:col>51</xdr:col>
      <xdr:colOff>460375</xdr:colOff>
      <xdr:row>29</xdr:row>
      <xdr:rowOff>293688</xdr:rowOff>
    </xdr:to>
    <xdr:pic>
      <xdr:nvPicPr>
        <xdr:cNvPr id="1422" name="Picture 1421">
          <a:extLst>
            <a:ext uri="{FF2B5EF4-FFF2-40B4-BE49-F238E27FC236}">
              <a16:creationId xmlns:a16="http://schemas.microsoft.com/office/drawing/2014/main" id="{EA03A019-C37B-9C36-78B5-56A16C5281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9964738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29</xdr:row>
      <xdr:rowOff>39688</xdr:rowOff>
    </xdr:from>
    <xdr:to>
      <xdr:col>147</xdr:col>
      <xdr:colOff>460375</xdr:colOff>
      <xdr:row>29</xdr:row>
      <xdr:rowOff>293688</xdr:rowOff>
    </xdr:to>
    <xdr:pic>
      <xdr:nvPicPr>
        <xdr:cNvPr id="1425" name="Picture 1424">
          <a:extLst>
            <a:ext uri="{FF2B5EF4-FFF2-40B4-BE49-F238E27FC236}">
              <a16:creationId xmlns:a16="http://schemas.microsoft.com/office/drawing/2014/main" id="{203A8267-9413-BF3C-956B-7675209B4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9964738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29</xdr:row>
      <xdr:rowOff>39688</xdr:rowOff>
    </xdr:from>
    <xdr:to>
      <xdr:col>231</xdr:col>
      <xdr:colOff>460375</xdr:colOff>
      <xdr:row>29</xdr:row>
      <xdr:rowOff>293688</xdr:rowOff>
    </xdr:to>
    <xdr:pic>
      <xdr:nvPicPr>
        <xdr:cNvPr id="1428" name="Picture 1427">
          <a:extLst>
            <a:ext uri="{FF2B5EF4-FFF2-40B4-BE49-F238E27FC236}">
              <a16:creationId xmlns:a16="http://schemas.microsoft.com/office/drawing/2014/main" id="{A32D3338-85AF-951B-4EC0-645A688D1B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9964738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29</xdr:row>
      <xdr:rowOff>39688</xdr:rowOff>
    </xdr:from>
    <xdr:to>
      <xdr:col>171</xdr:col>
      <xdr:colOff>460375</xdr:colOff>
      <xdr:row>29</xdr:row>
      <xdr:rowOff>293688</xdr:rowOff>
    </xdr:to>
    <xdr:pic>
      <xdr:nvPicPr>
        <xdr:cNvPr id="1431" name="Picture 1430">
          <a:extLst>
            <a:ext uri="{FF2B5EF4-FFF2-40B4-BE49-F238E27FC236}">
              <a16:creationId xmlns:a16="http://schemas.microsoft.com/office/drawing/2014/main" id="{15976A0B-9E4A-D850-DA6D-7891B880D3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996473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29</xdr:row>
      <xdr:rowOff>39688</xdr:rowOff>
    </xdr:from>
    <xdr:to>
      <xdr:col>15</xdr:col>
      <xdr:colOff>460375</xdr:colOff>
      <xdr:row>29</xdr:row>
      <xdr:rowOff>293688</xdr:rowOff>
    </xdr:to>
    <xdr:pic>
      <xdr:nvPicPr>
        <xdr:cNvPr id="1434" name="Picture 1433">
          <a:extLst>
            <a:ext uri="{FF2B5EF4-FFF2-40B4-BE49-F238E27FC236}">
              <a16:creationId xmlns:a16="http://schemas.microsoft.com/office/drawing/2014/main" id="{BDA2EEC5-DC26-A738-860B-231542090C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9964738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181211</xdr:colOff>
      <xdr:row>29</xdr:row>
      <xdr:rowOff>39688</xdr:rowOff>
    </xdr:from>
    <xdr:to>
      <xdr:col>219</xdr:col>
      <xdr:colOff>485543</xdr:colOff>
      <xdr:row>29</xdr:row>
      <xdr:rowOff>293688</xdr:rowOff>
    </xdr:to>
    <xdr:pic>
      <xdr:nvPicPr>
        <xdr:cNvPr id="1437" name="Picture 1436">
          <a:extLst>
            <a:ext uri="{FF2B5EF4-FFF2-40B4-BE49-F238E27FC236}">
              <a16:creationId xmlns:a16="http://schemas.microsoft.com/office/drawing/2014/main" id="{89A77D4D-D4C8-CC0C-111C-B2700A360F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12236" y="9964738"/>
          <a:ext cx="304332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29</xdr:row>
      <xdr:rowOff>39688</xdr:rowOff>
    </xdr:from>
    <xdr:to>
      <xdr:col>207</xdr:col>
      <xdr:colOff>460375</xdr:colOff>
      <xdr:row>29</xdr:row>
      <xdr:rowOff>293688</xdr:rowOff>
    </xdr:to>
    <xdr:pic>
      <xdr:nvPicPr>
        <xdr:cNvPr id="1440" name="Picture 1439">
          <a:extLst>
            <a:ext uri="{FF2B5EF4-FFF2-40B4-BE49-F238E27FC236}">
              <a16:creationId xmlns:a16="http://schemas.microsoft.com/office/drawing/2014/main" id="{A20DBE36-36A7-7392-8F55-B41DDD6B83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996473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30</xdr:row>
      <xdr:rowOff>39688</xdr:rowOff>
    </xdr:from>
    <xdr:to>
      <xdr:col>15</xdr:col>
      <xdr:colOff>460375</xdr:colOff>
      <xdr:row>30</xdr:row>
      <xdr:rowOff>293688</xdr:rowOff>
    </xdr:to>
    <xdr:pic>
      <xdr:nvPicPr>
        <xdr:cNvPr id="1443" name="Picture 1442">
          <a:extLst>
            <a:ext uri="{FF2B5EF4-FFF2-40B4-BE49-F238E27FC236}">
              <a16:creationId xmlns:a16="http://schemas.microsoft.com/office/drawing/2014/main" id="{23A3AF56-EAFE-C1E7-5844-273042D107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10298113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30</xdr:row>
      <xdr:rowOff>39688</xdr:rowOff>
    </xdr:from>
    <xdr:to>
      <xdr:col>39</xdr:col>
      <xdr:colOff>460375</xdr:colOff>
      <xdr:row>30</xdr:row>
      <xdr:rowOff>293688</xdr:rowOff>
    </xdr:to>
    <xdr:pic>
      <xdr:nvPicPr>
        <xdr:cNvPr id="1446" name="Picture 1445">
          <a:extLst>
            <a:ext uri="{FF2B5EF4-FFF2-40B4-BE49-F238E27FC236}">
              <a16:creationId xmlns:a16="http://schemas.microsoft.com/office/drawing/2014/main" id="{3549D84F-A04C-77D9-EBBC-78BE51055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10298113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30</xdr:row>
      <xdr:rowOff>39688</xdr:rowOff>
    </xdr:from>
    <xdr:to>
      <xdr:col>51</xdr:col>
      <xdr:colOff>460375</xdr:colOff>
      <xdr:row>30</xdr:row>
      <xdr:rowOff>293688</xdr:rowOff>
    </xdr:to>
    <xdr:pic>
      <xdr:nvPicPr>
        <xdr:cNvPr id="1449" name="Picture 1448">
          <a:extLst>
            <a:ext uri="{FF2B5EF4-FFF2-40B4-BE49-F238E27FC236}">
              <a16:creationId xmlns:a16="http://schemas.microsoft.com/office/drawing/2014/main" id="{C9E77371-DC8C-7262-D815-101C970590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10298113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30</xdr:row>
      <xdr:rowOff>39688</xdr:rowOff>
    </xdr:from>
    <xdr:to>
      <xdr:col>99</xdr:col>
      <xdr:colOff>460375</xdr:colOff>
      <xdr:row>30</xdr:row>
      <xdr:rowOff>293688</xdr:rowOff>
    </xdr:to>
    <xdr:pic>
      <xdr:nvPicPr>
        <xdr:cNvPr id="1452" name="Picture 1451">
          <a:extLst>
            <a:ext uri="{FF2B5EF4-FFF2-40B4-BE49-F238E27FC236}">
              <a16:creationId xmlns:a16="http://schemas.microsoft.com/office/drawing/2014/main" id="{20D328BC-31C6-81B9-EE44-CDE9E5D94A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10298113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30</xdr:row>
      <xdr:rowOff>39688</xdr:rowOff>
    </xdr:from>
    <xdr:to>
      <xdr:col>75</xdr:col>
      <xdr:colOff>460375</xdr:colOff>
      <xdr:row>30</xdr:row>
      <xdr:rowOff>293688</xdr:rowOff>
    </xdr:to>
    <xdr:pic>
      <xdr:nvPicPr>
        <xdr:cNvPr id="1455" name="Picture 1454">
          <a:extLst>
            <a:ext uri="{FF2B5EF4-FFF2-40B4-BE49-F238E27FC236}">
              <a16:creationId xmlns:a16="http://schemas.microsoft.com/office/drawing/2014/main" id="{6A975080-FEFB-4A7D-A5AE-8D4304DB3D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10298113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30</xdr:row>
      <xdr:rowOff>39688</xdr:rowOff>
    </xdr:from>
    <xdr:to>
      <xdr:col>219</xdr:col>
      <xdr:colOff>460375</xdr:colOff>
      <xdr:row>30</xdr:row>
      <xdr:rowOff>293688</xdr:rowOff>
    </xdr:to>
    <xdr:pic>
      <xdr:nvPicPr>
        <xdr:cNvPr id="1458" name="Picture 1457">
          <a:extLst>
            <a:ext uri="{FF2B5EF4-FFF2-40B4-BE49-F238E27FC236}">
              <a16:creationId xmlns:a16="http://schemas.microsoft.com/office/drawing/2014/main" id="{A9C5FB66-11F1-3B3C-CCA0-11D009EDB8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10298113"/>
          <a:ext cx="254000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30</xdr:row>
      <xdr:rowOff>39688</xdr:rowOff>
    </xdr:from>
    <xdr:to>
      <xdr:col>123</xdr:col>
      <xdr:colOff>460375</xdr:colOff>
      <xdr:row>30</xdr:row>
      <xdr:rowOff>293688</xdr:rowOff>
    </xdr:to>
    <xdr:pic>
      <xdr:nvPicPr>
        <xdr:cNvPr id="1461" name="Picture 1460">
          <a:extLst>
            <a:ext uri="{FF2B5EF4-FFF2-40B4-BE49-F238E27FC236}">
              <a16:creationId xmlns:a16="http://schemas.microsoft.com/office/drawing/2014/main" id="{873263C8-158D-4958-3499-1275759D5F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1029811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230003</xdr:colOff>
      <xdr:row>30</xdr:row>
      <xdr:rowOff>39688</xdr:rowOff>
    </xdr:from>
    <xdr:to>
      <xdr:col>3</xdr:col>
      <xdr:colOff>436747</xdr:colOff>
      <xdr:row>30</xdr:row>
      <xdr:rowOff>293688</xdr:rowOff>
    </xdr:to>
    <xdr:pic>
      <xdr:nvPicPr>
        <xdr:cNvPr id="1464" name="Picture 1463">
          <a:extLst>
            <a:ext uri="{FF2B5EF4-FFF2-40B4-BE49-F238E27FC236}">
              <a16:creationId xmlns:a16="http://schemas.microsoft.com/office/drawing/2014/main" id="{DE5432DF-218C-4056-7E5F-EBED1C6A28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3653" y="10298113"/>
          <a:ext cx="206744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30</xdr:row>
      <xdr:rowOff>39688</xdr:rowOff>
    </xdr:from>
    <xdr:to>
      <xdr:col>135</xdr:col>
      <xdr:colOff>460375</xdr:colOff>
      <xdr:row>30</xdr:row>
      <xdr:rowOff>293688</xdr:rowOff>
    </xdr:to>
    <xdr:pic>
      <xdr:nvPicPr>
        <xdr:cNvPr id="1467" name="Picture 1466">
          <a:extLst>
            <a:ext uri="{FF2B5EF4-FFF2-40B4-BE49-F238E27FC236}">
              <a16:creationId xmlns:a16="http://schemas.microsoft.com/office/drawing/2014/main" id="{F0D19255-4388-DF1A-3CDD-9E3FBCF85C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10298113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263525</xdr:colOff>
      <xdr:row>30</xdr:row>
      <xdr:rowOff>39688</xdr:rowOff>
    </xdr:from>
    <xdr:to>
      <xdr:col>171</xdr:col>
      <xdr:colOff>403225</xdr:colOff>
      <xdr:row>30</xdr:row>
      <xdr:rowOff>293688</xdr:rowOff>
    </xdr:to>
    <xdr:pic>
      <xdr:nvPicPr>
        <xdr:cNvPr id="1470" name="Picture 1469">
          <a:extLst>
            <a:ext uri="{FF2B5EF4-FFF2-40B4-BE49-F238E27FC236}">
              <a16:creationId xmlns:a16="http://schemas.microsoft.com/office/drawing/2014/main" id="{268F5138-3F5D-E9AB-AFA9-89CA335C39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124250" y="10298113"/>
          <a:ext cx="1397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30</xdr:row>
      <xdr:rowOff>39688</xdr:rowOff>
    </xdr:from>
    <xdr:to>
      <xdr:col>159</xdr:col>
      <xdr:colOff>460375</xdr:colOff>
      <xdr:row>30</xdr:row>
      <xdr:rowOff>293688</xdr:rowOff>
    </xdr:to>
    <xdr:pic>
      <xdr:nvPicPr>
        <xdr:cNvPr id="1473" name="Picture 1472">
          <a:extLst>
            <a:ext uri="{FF2B5EF4-FFF2-40B4-BE49-F238E27FC236}">
              <a16:creationId xmlns:a16="http://schemas.microsoft.com/office/drawing/2014/main" id="{D099DADF-6161-9DD3-494E-E3783B6C88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10298113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30</xdr:row>
      <xdr:rowOff>39688</xdr:rowOff>
    </xdr:from>
    <xdr:to>
      <xdr:col>111</xdr:col>
      <xdr:colOff>460375</xdr:colOff>
      <xdr:row>30</xdr:row>
      <xdr:rowOff>293688</xdr:rowOff>
    </xdr:to>
    <xdr:pic>
      <xdr:nvPicPr>
        <xdr:cNvPr id="1476" name="Picture 1475">
          <a:extLst>
            <a:ext uri="{FF2B5EF4-FFF2-40B4-BE49-F238E27FC236}">
              <a16:creationId xmlns:a16="http://schemas.microsoft.com/office/drawing/2014/main" id="{D3EB2A04-EF06-C20E-EB6A-9CEE6D3719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10298113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30</xdr:row>
      <xdr:rowOff>39688</xdr:rowOff>
    </xdr:from>
    <xdr:to>
      <xdr:col>183</xdr:col>
      <xdr:colOff>460375</xdr:colOff>
      <xdr:row>30</xdr:row>
      <xdr:rowOff>293688</xdr:rowOff>
    </xdr:to>
    <xdr:pic>
      <xdr:nvPicPr>
        <xdr:cNvPr id="1479" name="Picture 1478">
          <a:extLst>
            <a:ext uri="{FF2B5EF4-FFF2-40B4-BE49-F238E27FC236}">
              <a16:creationId xmlns:a16="http://schemas.microsoft.com/office/drawing/2014/main" id="{DD080646-AA11-936A-B161-7FFEE8654E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10298113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30</xdr:row>
      <xdr:rowOff>39688</xdr:rowOff>
    </xdr:from>
    <xdr:to>
      <xdr:col>87</xdr:col>
      <xdr:colOff>460375</xdr:colOff>
      <xdr:row>30</xdr:row>
      <xdr:rowOff>293688</xdr:rowOff>
    </xdr:to>
    <xdr:pic>
      <xdr:nvPicPr>
        <xdr:cNvPr id="1482" name="Picture 1481">
          <a:extLst>
            <a:ext uri="{FF2B5EF4-FFF2-40B4-BE49-F238E27FC236}">
              <a16:creationId xmlns:a16="http://schemas.microsoft.com/office/drawing/2014/main" id="{1B0F6E9C-7F57-8927-76A3-AA43A9FC3F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10298113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30</xdr:row>
      <xdr:rowOff>39688</xdr:rowOff>
    </xdr:from>
    <xdr:to>
      <xdr:col>195</xdr:col>
      <xdr:colOff>460375</xdr:colOff>
      <xdr:row>30</xdr:row>
      <xdr:rowOff>293688</xdr:rowOff>
    </xdr:to>
    <xdr:pic>
      <xdr:nvPicPr>
        <xdr:cNvPr id="1485" name="Picture 1484">
          <a:extLst>
            <a:ext uri="{FF2B5EF4-FFF2-40B4-BE49-F238E27FC236}">
              <a16:creationId xmlns:a16="http://schemas.microsoft.com/office/drawing/2014/main" id="{46D31FCF-EC30-400A-21CF-64361AE579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10298113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30</xdr:row>
      <xdr:rowOff>39688</xdr:rowOff>
    </xdr:from>
    <xdr:to>
      <xdr:col>147</xdr:col>
      <xdr:colOff>460375</xdr:colOff>
      <xdr:row>30</xdr:row>
      <xdr:rowOff>293688</xdr:rowOff>
    </xdr:to>
    <xdr:pic>
      <xdr:nvPicPr>
        <xdr:cNvPr id="1488" name="Picture 1487">
          <a:extLst>
            <a:ext uri="{FF2B5EF4-FFF2-40B4-BE49-F238E27FC236}">
              <a16:creationId xmlns:a16="http://schemas.microsoft.com/office/drawing/2014/main" id="{10FDB306-1AAB-38B7-FBFD-3BC218878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10298113"/>
          <a:ext cx="254000" cy="254000"/>
        </a:xfrm>
        <a:prstGeom prst="rect">
          <a:avLst/>
        </a:prstGeom>
      </xdr:spPr>
    </xdr:pic>
    <xdr:clientData/>
  </xdr:twoCellAnchor>
  <xdr:twoCellAnchor>
    <xdr:from>
      <xdr:col>207</xdr:col>
      <xdr:colOff>223131</xdr:colOff>
      <xdr:row>30</xdr:row>
      <xdr:rowOff>39688</xdr:rowOff>
    </xdr:from>
    <xdr:to>
      <xdr:col>207</xdr:col>
      <xdr:colOff>443617</xdr:colOff>
      <xdr:row>30</xdr:row>
      <xdr:rowOff>293688</xdr:rowOff>
    </xdr:to>
    <xdr:pic>
      <xdr:nvPicPr>
        <xdr:cNvPr id="1491" name="Picture 1490">
          <a:extLst>
            <a:ext uri="{FF2B5EF4-FFF2-40B4-BE49-F238E27FC236}">
              <a16:creationId xmlns:a16="http://schemas.microsoft.com/office/drawing/2014/main" id="{CB2261B9-332A-590E-22C8-E703F5359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86581" y="10298113"/>
          <a:ext cx="220486" cy="254000"/>
        </a:xfrm>
        <a:prstGeom prst="rect">
          <a:avLst/>
        </a:prstGeom>
      </xdr:spPr>
    </xdr:pic>
    <xdr:clientData/>
  </xdr:twoCellAnchor>
  <xdr:twoCellAnchor>
    <xdr:from>
      <xdr:col>63</xdr:col>
      <xdr:colOff>181208</xdr:colOff>
      <xdr:row>30</xdr:row>
      <xdr:rowOff>39688</xdr:rowOff>
    </xdr:from>
    <xdr:to>
      <xdr:col>63</xdr:col>
      <xdr:colOff>485540</xdr:colOff>
      <xdr:row>30</xdr:row>
      <xdr:rowOff>293688</xdr:rowOff>
    </xdr:to>
    <xdr:pic>
      <xdr:nvPicPr>
        <xdr:cNvPr id="1494" name="Picture 1493">
          <a:extLst>
            <a:ext uri="{FF2B5EF4-FFF2-40B4-BE49-F238E27FC236}">
              <a16:creationId xmlns:a16="http://schemas.microsoft.com/office/drawing/2014/main" id="{101B33CA-A675-7E22-D468-EB197ADD49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33758" y="10298113"/>
          <a:ext cx="304332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30</xdr:row>
      <xdr:rowOff>39688</xdr:rowOff>
    </xdr:from>
    <xdr:to>
      <xdr:col>231</xdr:col>
      <xdr:colOff>460375</xdr:colOff>
      <xdr:row>30</xdr:row>
      <xdr:rowOff>293688</xdr:rowOff>
    </xdr:to>
    <xdr:pic>
      <xdr:nvPicPr>
        <xdr:cNvPr id="1497" name="Picture 1496">
          <a:extLst>
            <a:ext uri="{FF2B5EF4-FFF2-40B4-BE49-F238E27FC236}">
              <a16:creationId xmlns:a16="http://schemas.microsoft.com/office/drawing/2014/main" id="{EC2A6375-9E8E-DF25-5BFB-87488195F4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10298113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30</xdr:row>
      <xdr:rowOff>39688</xdr:rowOff>
    </xdr:from>
    <xdr:to>
      <xdr:col>27</xdr:col>
      <xdr:colOff>460375</xdr:colOff>
      <xdr:row>30</xdr:row>
      <xdr:rowOff>293688</xdr:rowOff>
    </xdr:to>
    <xdr:pic>
      <xdr:nvPicPr>
        <xdr:cNvPr id="1500" name="Picture 1499">
          <a:extLst>
            <a:ext uri="{FF2B5EF4-FFF2-40B4-BE49-F238E27FC236}">
              <a16:creationId xmlns:a16="http://schemas.microsoft.com/office/drawing/2014/main" id="{B39C1225-42EA-69E0-21E4-369EDE77D4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1029811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181209</xdr:colOff>
      <xdr:row>32</xdr:row>
      <xdr:rowOff>39688</xdr:rowOff>
    </xdr:from>
    <xdr:to>
      <xdr:col>3</xdr:col>
      <xdr:colOff>485541</xdr:colOff>
      <xdr:row>32</xdr:row>
      <xdr:rowOff>293688</xdr:rowOff>
    </xdr:to>
    <xdr:pic>
      <xdr:nvPicPr>
        <xdr:cNvPr id="1503" name="Picture 1502">
          <a:extLst>
            <a:ext uri="{FF2B5EF4-FFF2-40B4-BE49-F238E27FC236}">
              <a16:creationId xmlns:a16="http://schemas.microsoft.com/office/drawing/2014/main" id="{2DE30157-90EF-2A93-C404-2F97E2C6A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4859" y="10964863"/>
          <a:ext cx="304332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32</xdr:row>
      <xdr:rowOff>39688</xdr:rowOff>
    </xdr:from>
    <xdr:to>
      <xdr:col>207</xdr:col>
      <xdr:colOff>460375</xdr:colOff>
      <xdr:row>32</xdr:row>
      <xdr:rowOff>293688</xdr:rowOff>
    </xdr:to>
    <xdr:pic>
      <xdr:nvPicPr>
        <xdr:cNvPr id="1506" name="Picture 1505">
          <a:extLst>
            <a:ext uri="{FF2B5EF4-FFF2-40B4-BE49-F238E27FC236}">
              <a16:creationId xmlns:a16="http://schemas.microsoft.com/office/drawing/2014/main" id="{E415DD45-D9A7-E6B1-2C99-42DB67CFA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10964863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32</xdr:row>
      <xdr:rowOff>39688</xdr:rowOff>
    </xdr:from>
    <xdr:to>
      <xdr:col>27</xdr:col>
      <xdr:colOff>460375</xdr:colOff>
      <xdr:row>32</xdr:row>
      <xdr:rowOff>293688</xdr:rowOff>
    </xdr:to>
    <xdr:pic>
      <xdr:nvPicPr>
        <xdr:cNvPr id="1509" name="Picture 1508">
          <a:extLst>
            <a:ext uri="{FF2B5EF4-FFF2-40B4-BE49-F238E27FC236}">
              <a16:creationId xmlns:a16="http://schemas.microsoft.com/office/drawing/2014/main" id="{E11D845A-9606-0CD7-F0AD-6DC0C75A90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10964863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32</xdr:row>
      <xdr:rowOff>39688</xdr:rowOff>
    </xdr:from>
    <xdr:to>
      <xdr:col>15</xdr:col>
      <xdr:colOff>460375</xdr:colOff>
      <xdr:row>32</xdr:row>
      <xdr:rowOff>293688</xdr:rowOff>
    </xdr:to>
    <xdr:pic>
      <xdr:nvPicPr>
        <xdr:cNvPr id="1512" name="Picture 1511">
          <a:extLst>
            <a:ext uri="{FF2B5EF4-FFF2-40B4-BE49-F238E27FC236}">
              <a16:creationId xmlns:a16="http://schemas.microsoft.com/office/drawing/2014/main" id="{04387336-D046-40A9-FBD0-BCD0ADF1F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10964863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32</xdr:row>
      <xdr:rowOff>39688</xdr:rowOff>
    </xdr:from>
    <xdr:to>
      <xdr:col>51</xdr:col>
      <xdr:colOff>460375</xdr:colOff>
      <xdr:row>32</xdr:row>
      <xdr:rowOff>293688</xdr:rowOff>
    </xdr:to>
    <xdr:pic>
      <xdr:nvPicPr>
        <xdr:cNvPr id="1515" name="Picture 1514">
          <a:extLst>
            <a:ext uri="{FF2B5EF4-FFF2-40B4-BE49-F238E27FC236}">
              <a16:creationId xmlns:a16="http://schemas.microsoft.com/office/drawing/2014/main" id="{8B79DCB1-6076-2237-2323-066700DE33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10964863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32</xdr:row>
      <xdr:rowOff>39688</xdr:rowOff>
    </xdr:from>
    <xdr:to>
      <xdr:col>87</xdr:col>
      <xdr:colOff>460375</xdr:colOff>
      <xdr:row>32</xdr:row>
      <xdr:rowOff>293688</xdr:rowOff>
    </xdr:to>
    <xdr:pic>
      <xdr:nvPicPr>
        <xdr:cNvPr id="1518" name="Picture 1517">
          <a:extLst>
            <a:ext uri="{FF2B5EF4-FFF2-40B4-BE49-F238E27FC236}">
              <a16:creationId xmlns:a16="http://schemas.microsoft.com/office/drawing/2014/main" id="{DD7D78FD-C3A5-36E7-01F9-6021A022CF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10964863"/>
          <a:ext cx="254000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32</xdr:row>
      <xdr:rowOff>39688</xdr:rowOff>
    </xdr:from>
    <xdr:to>
      <xdr:col>63</xdr:col>
      <xdr:colOff>460375</xdr:colOff>
      <xdr:row>32</xdr:row>
      <xdr:rowOff>293688</xdr:rowOff>
    </xdr:to>
    <xdr:pic>
      <xdr:nvPicPr>
        <xdr:cNvPr id="1521" name="Picture 1520">
          <a:extLst>
            <a:ext uri="{FF2B5EF4-FFF2-40B4-BE49-F238E27FC236}">
              <a16:creationId xmlns:a16="http://schemas.microsoft.com/office/drawing/2014/main" id="{8B202B1C-245C-6E3F-4036-4EA6E8550D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10964863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223131</xdr:colOff>
      <xdr:row>32</xdr:row>
      <xdr:rowOff>39688</xdr:rowOff>
    </xdr:from>
    <xdr:to>
      <xdr:col>219</xdr:col>
      <xdr:colOff>443617</xdr:colOff>
      <xdr:row>32</xdr:row>
      <xdr:rowOff>293688</xdr:rowOff>
    </xdr:to>
    <xdr:pic>
      <xdr:nvPicPr>
        <xdr:cNvPr id="1524" name="Picture 1523">
          <a:extLst>
            <a:ext uri="{FF2B5EF4-FFF2-40B4-BE49-F238E27FC236}">
              <a16:creationId xmlns:a16="http://schemas.microsoft.com/office/drawing/2014/main" id="{1FA3DDEB-0EFA-8193-142A-089DA3BF85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54156" y="10964863"/>
          <a:ext cx="220486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32</xdr:row>
      <xdr:rowOff>39688</xdr:rowOff>
    </xdr:from>
    <xdr:to>
      <xdr:col>111</xdr:col>
      <xdr:colOff>460375</xdr:colOff>
      <xdr:row>32</xdr:row>
      <xdr:rowOff>293688</xdr:rowOff>
    </xdr:to>
    <xdr:pic>
      <xdr:nvPicPr>
        <xdr:cNvPr id="1527" name="Picture 1526">
          <a:extLst>
            <a:ext uri="{FF2B5EF4-FFF2-40B4-BE49-F238E27FC236}">
              <a16:creationId xmlns:a16="http://schemas.microsoft.com/office/drawing/2014/main" id="{609032FF-3E1B-F311-184F-6793B255A8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10964863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32</xdr:row>
      <xdr:rowOff>39688</xdr:rowOff>
    </xdr:from>
    <xdr:to>
      <xdr:col>99</xdr:col>
      <xdr:colOff>460375</xdr:colOff>
      <xdr:row>32</xdr:row>
      <xdr:rowOff>293688</xdr:rowOff>
    </xdr:to>
    <xdr:pic>
      <xdr:nvPicPr>
        <xdr:cNvPr id="1530" name="Picture 1529">
          <a:extLst>
            <a:ext uri="{FF2B5EF4-FFF2-40B4-BE49-F238E27FC236}">
              <a16:creationId xmlns:a16="http://schemas.microsoft.com/office/drawing/2014/main" id="{1AB077CC-238F-9668-DCDB-B862D989FE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10964863"/>
          <a:ext cx="254000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32</xdr:row>
      <xdr:rowOff>39688</xdr:rowOff>
    </xdr:from>
    <xdr:to>
      <xdr:col>123</xdr:col>
      <xdr:colOff>460375</xdr:colOff>
      <xdr:row>32</xdr:row>
      <xdr:rowOff>293688</xdr:rowOff>
    </xdr:to>
    <xdr:pic>
      <xdr:nvPicPr>
        <xdr:cNvPr id="1533" name="Picture 1532">
          <a:extLst>
            <a:ext uri="{FF2B5EF4-FFF2-40B4-BE49-F238E27FC236}">
              <a16:creationId xmlns:a16="http://schemas.microsoft.com/office/drawing/2014/main" id="{0308456A-2CAA-05E2-E0C1-786E9604E5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10964863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230001</xdr:colOff>
      <xdr:row>32</xdr:row>
      <xdr:rowOff>39688</xdr:rowOff>
    </xdr:from>
    <xdr:to>
      <xdr:col>183</xdr:col>
      <xdr:colOff>436745</xdr:colOff>
      <xdr:row>32</xdr:row>
      <xdr:rowOff>293688</xdr:rowOff>
    </xdr:to>
    <xdr:pic>
      <xdr:nvPicPr>
        <xdr:cNvPr id="1536" name="Picture 1535">
          <a:extLst>
            <a:ext uri="{FF2B5EF4-FFF2-40B4-BE49-F238E27FC236}">
              <a16:creationId xmlns:a16="http://schemas.microsoft.com/office/drawing/2014/main" id="{9FBC07EE-9D8C-0EEF-DE39-2D5468409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58301" y="10964863"/>
          <a:ext cx="206744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32</xdr:row>
      <xdr:rowOff>39688</xdr:rowOff>
    </xdr:from>
    <xdr:to>
      <xdr:col>135</xdr:col>
      <xdr:colOff>460375</xdr:colOff>
      <xdr:row>32</xdr:row>
      <xdr:rowOff>293688</xdr:rowOff>
    </xdr:to>
    <xdr:pic>
      <xdr:nvPicPr>
        <xdr:cNvPr id="1539" name="Picture 1538">
          <a:extLst>
            <a:ext uri="{FF2B5EF4-FFF2-40B4-BE49-F238E27FC236}">
              <a16:creationId xmlns:a16="http://schemas.microsoft.com/office/drawing/2014/main" id="{4FE47550-D7A1-2A7A-A322-0410857E4D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10964863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263525</xdr:colOff>
      <xdr:row>32</xdr:row>
      <xdr:rowOff>39688</xdr:rowOff>
    </xdr:from>
    <xdr:to>
      <xdr:col>147</xdr:col>
      <xdr:colOff>403225</xdr:colOff>
      <xdr:row>32</xdr:row>
      <xdr:rowOff>293688</xdr:rowOff>
    </xdr:to>
    <xdr:pic>
      <xdr:nvPicPr>
        <xdr:cNvPr id="1542" name="Picture 1541">
          <a:extLst>
            <a:ext uri="{FF2B5EF4-FFF2-40B4-BE49-F238E27FC236}">
              <a16:creationId xmlns:a16="http://schemas.microsoft.com/office/drawing/2014/main" id="{6F4EA5FC-EE5B-A547-BFB7-BBB57A8590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89100" y="10964863"/>
          <a:ext cx="1397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32</xdr:row>
      <xdr:rowOff>39688</xdr:rowOff>
    </xdr:from>
    <xdr:to>
      <xdr:col>159</xdr:col>
      <xdr:colOff>460375</xdr:colOff>
      <xdr:row>32</xdr:row>
      <xdr:rowOff>293688</xdr:rowOff>
    </xdr:to>
    <xdr:pic>
      <xdr:nvPicPr>
        <xdr:cNvPr id="1545" name="Picture 1544">
          <a:extLst>
            <a:ext uri="{FF2B5EF4-FFF2-40B4-BE49-F238E27FC236}">
              <a16:creationId xmlns:a16="http://schemas.microsoft.com/office/drawing/2014/main" id="{262C803E-8B16-3340-5F94-19423E15D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10964863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32</xdr:row>
      <xdr:rowOff>39688</xdr:rowOff>
    </xdr:from>
    <xdr:to>
      <xdr:col>195</xdr:col>
      <xdr:colOff>460375</xdr:colOff>
      <xdr:row>32</xdr:row>
      <xdr:rowOff>293688</xdr:rowOff>
    </xdr:to>
    <xdr:pic>
      <xdr:nvPicPr>
        <xdr:cNvPr id="1548" name="Picture 1547">
          <a:extLst>
            <a:ext uri="{FF2B5EF4-FFF2-40B4-BE49-F238E27FC236}">
              <a16:creationId xmlns:a16="http://schemas.microsoft.com/office/drawing/2014/main" id="{913E61DE-AF87-20B3-0AA9-A6CF105A4C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10964863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32</xdr:row>
      <xdr:rowOff>39688</xdr:rowOff>
    </xdr:from>
    <xdr:to>
      <xdr:col>171</xdr:col>
      <xdr:colOff>460375</xdr:colOff>
      <xdr:row>32</xdr:row>
      <xdr:rowOff>293688</xdr:rowOff>
    </xdr:to>
    <xdr:pic>
      <xdr:nvPicPr>
        <xdr:cNvPr id="1551" name="Picture 1550">
          <a:extLst>
            <a:ext uri="{FF2B5EF4-FFF2-40B4-BE49-F238E27FC236}">
              <a16:creationId xmlns:a16="http://schemas.microsoft.com/office/drawing/2014/main" id="{44C4300A-6FED-C726-CF83-41067149E0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10964863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32</xdr:row>
      <xdr:rowOff>39688</xdr:rowOff>
    </xdr:from>
    <xdr:to>
      <xdr:col>39</xdr:col>
      <xdr:colOff>460375</xdr:colOff>
      <xdr:row>32</xdr:row>
      <xdr:rowOff>293688</xdr:rowOff>
    </xdr:to>
    <xdr:pic>
      <xdr:nvPicPr>
        <xdr:cNvPr id="1554" name="Picture 1553">
          <a:extLst>
            <a:ext uri="{FF2B5EF4-FFF2-40B4-BE49-F238E27FC236}">
              <a16:creationId xmlns:a16="http://schemas.microsoft.com/office/drawing/2014/main" id="{98777F33-C437-F598-AE40-78E6C74664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10964863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32</xdr:row>
      <xdr:rowOff>39688</xdr:rowOff>
    </xdr:from>
    <xdr:to>
      <xdr:col>231</xdr:col>
      <xdr:colOff>460375</xdr:colOff>
      <xdr:row>32</xdr:row>
      <xdr:rowOff>293688</xdr:rowOff>
    </xdr:to>
    <xdr:pic>
      <xdr:nvPicPr>
        <xdr:cNvPr id="1557" name="Picture 1556">
          <a:extLst>
            <a:ext uri="{FF2B5EF4-FFF2-40B4-BE49-F238E27FC236}">
              <a16:creationId xmlns:a16="http://schemas.microsoft.com/office/drawing/2014/main" id="{1391B59A-55E8-CDB5-6AF6-6E40FFE2CB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10964863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32</xdr:row>
      <xdr:rowOff>39688</xdr:rowOff>
    </xdr:from>
    <xdr:to>
      <xdr:col>75</xdr:col>
      <xdr:colOff>460375</xdr:colOff>
      <xdr:row>32</xdr:row>
      <xdr:rowOff>293688</xdr:rowOff>
    </xdr:to>
    <xdr:pic>
      <xdr:nvPicPr>
        <xdr:cNvPr id="1560" name="Picture 1559">
          <a:extLst>
            <a:ext uri="{FF2B5EF4-FFF2-40B4-BE49-F238E27FC236}">
              <a16:creationId xmlns:a16="http://schemas.microsoft.com/office/drawing/2014/main" id="{3513A323-A6EF-423B-793E-0E11E8BB55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10964863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33</xdr:row>
      <xdr:rowOff>39688</xdr:rowOff>
    </xdr:from>
    <xdr:to>
      <xdr:col>15</xdr:col>
      <xdr:colOff>460375</xdr:colOff>
      <xdr:row>33</xdr:row>
      <xdr:rowOff>293688</xdr:rowOff>
    </xdr:to>
    <xdr:pic>
      <xdr:nvPicPr>
        <xdr:cNvPr id="1563" name="Picture 1562">
          <a:extLst>
            <a:ext uri="{FF2B5EF4-FFF2-40B4-BE49-F238E27FC236}">
              <a16:creationId xmlns:a16="http://schemas.microsoft.com/office/drawing/2014/main" id="{CCC4606E-6B83-5C67-5839-82D4736A5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11298238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33</xdr:row>
      <xdr:rowOff>39688</xdr:rowOff>
    </xdr:from>
    <xdr:to>
      <xdr:col>51</xdr:col>
      <xdr:colOff>460375</xdr:colOff>
      <xdr:row>33</xdr:row>
      <xdr:rowOff>293688</xdr:rowOff>
    </xdr:to>
    <xdr:pic>
      <xdr:nvPicPr>
        <xdr:cNvPr id="1566" name="Picture 1565">
          <a:extLst>
            <a:ext uri="{FF2B5EF4-FFF2-40B4-BE49-F238E27FC236}">
              <a16:creationId xmlns:a16="http://schemas.microsoft.com/office/drawing/2014/main" id="{8D319BFF-8853-46C1-5E42-AAC48482BE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11298238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33</xdr:row>
      <xdr:rowOff>39688</xdr:rowOff>
    </xdr:from>
    <xdr:to>
      <xdr:col>39</xdr:col>
      <xdr:colOff>460375</xdr:colOff>
      <xdr:row>33</xdr:row>
      <xdr:rowOff>293688</xdr:rowOff>
    </xdr:to>
    <xdr:pic>
      <xdr:nvPicPr>
        <xdr:cNvPr id="1569" name="Picture 1568">
          <a:extLst>
            <a:ext uri="{FF2B5EF4-FFF2-40B4-BE49-F238E27FC236}">
              <a16:creationId xmlns:a16="http://schemas.microsoft.com/office/drawing/2014/main" id="{B3836A3E-C775-907F-0AF3-6062F205D4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11298238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33</xdr:row>
      <xdr:rowOff>39688</xdr:rowOff>
    </xdr:from>
    <xdr:to>
      <xdr:col>3</xdr:col>
      <xdr:colOff>460375</xdr:colOff>
      <xdr:row>33</xdr:row>
      <xdr:rowOff>293688</xdr:rowOff>
    </xdr:to>
    <xdr:pic>
      <xdr:nvPicPr>
        <xdr:cNvPr id="1572" name="Picture 1571">
          <a:extLst>
            <a:ext uri="{FF2B5EF4-FFF2-40B4-BE49-F238E27FC236}">
              <a16:creationId xmlns:a16="http://schemas.microsoft.com/office/drawing/2014/main" id="{4082B1C7-4A1F-BCE1-4F4B-FEDF9249A6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11298238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230001</xdr:colOff>
      <xdr:row>33</xdr:row>
      <xdr:rowOff>39688</xdr:rowOff>
    </xdr:from>
    <xdr:to>
      <xdr:col>75</xdr:col>
      <xdr:colOff>436745</xdr:colOff>
      <xdr:row>33</xdr:row>
      <xdr:rowOff>293688</xdr:rowOff>
    </xdr:to>
    <xdr:pic>
      <xdr:nvPicPr>
        <xdr:cNvPr id="1575" name="Picture 1574">
          <a:extLst>
            <a:ext uri="{FF2B5EF4-FFF2-40B4-BE49-F238E27FC236}">
              <a16:creationId xmlns:a16="http://schemas.microsoft.com/office/drawing/2014/main" id="{6EB131B9-A9FE-CFD8-77E1-BBFA7EF62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50126" y="11298238"/>
          <a:ext cx="206744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33</xdr:row>
      <xdr:rowOff>39688</xdr:rowOff>
    </xdr:from>
    <xdr:to>
      <xdr:col>123</xdr:col>
      <xdr:colOff>460375</xdr:colOff>
      <xdr:row>33</xdr:row>
      <xdr:rowOff>293688</xdr:rowOff>
    </xdr:to>
    <xdr:pic>
      <xdr:nvPicPr>
        <xdr:cNvPr id="1578" name="Picture 1577">
          <a:extLst>
            <a:ext uri="{FF2B5EF4-FFF2-40B4-BE49-F238E27FC236}">
              <a16:creationId xmlns:a16="http://schemas.microsoft.com/office/drawing/2014/main" id="{B264A2DE-A3A5-5A87-F391-1FF3759455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11298238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223131</xdr:colOff>
      <xdr:row>33</xdr:row>
      <xdr:rowOff>39688</xdr:rowOff>
    </xdr:from>
    <xdr:to>
      <xdr:col>87</xdr:col>
      <xdr:colOff>443617</xdr:colOff>
      <xdr:row>33</xdr:row>
      <xdr:rowOff>293688</xdr:rowOff>
    </xdr:to>
    <xdr:pic>
      <xdr:nvPicPr>
        <xdr:cNvPr id="1581" name="Picture 1580">
          <a:extLst>
            <a:ext uri="{FF2B5EF4-FFF2-40B4-BE49-F238E27FC236}">
              <a16:creationId xmlns:a16="http://schemas.microsoft.com/office/drawing/2014/main" id="{D788C85F-6DC9-19CE-B77C-C6D9FF59A8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10831" y="11298238"/>
          <a:ext cx="220486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33</xdr:row>
      <xdr:rowOff>39688</xdr:rowOff>
    </xdr:from>
    <xdr:to>
      <xdr:col>63</xdr:col>
      <xdr:colOff>460375</xdr:colOff>
      <xdr:row>33</xdr:row>
      <xdr:rowOff>293688</xdr:rowOff>
    </xdr:to>
    <xdr:pic>
      <xdr:nvPicPr>
        <xdr:cNvPr id="1584" name="Picture 1583">
          <a:extLst>
            <a:ext uri="{FF2B5EF4-FFF2-40B4-BE49-F238E27FC236}">
              <a16:creationId xmlns:a16="http://schemas.microsoft.com/office/drawing/2014/main" id="{84C7827F-2FE4-B203-50A1-DE6F3A3E91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11298238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33</xdr:row>
      <xdr:rowOff>39688</xdr:rowOff>
    </xdr:from>
    <xdr:to>
      <xdr:col>99</xdr:col>
      <xdr:colOff>460375</xdr:colOff>
      <xdr:row>33</xdr:row>
      <xdr:rowOff>293688</xdr:rowOff>
    </xdr:to>
    <xdr:pic>
      <xdr:nvPicPr>
        <xdr:cNvPr id="1587" name="Picture 1586">
          <a:extLst>
            <a:ext uri="{FF2B5EF4-FFF2-40B4-BE49-F238E27FC236}">
              <a16:creationId xmlns:a16="http://schemas.microsoft.com/office/drawing/2014/main" id="{AFF9CE9A-CB96-42B5-C053-F1FB8A10C1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11298238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33</xdr:row>
      <xdr:rowOff>39688</xdr:rowOff>
    </xdr:from>
    <xdr:to>
      <xdr:col>27</xdr:col>
      <xdr:colOff>460375</xdr:colOff>
      <xdr:row>33</xdr:row>
      <xdr:rowOff>293688</xdr:rowOff>
    </xdr:to>
    <xdr:pic>
      <xdr:nvPicPr>
        <xdr:cNvPr id="1590" name="Picture 1589">
          <a:extLst>
            <a:ext uri="{FF2B5EF4-FFF2-40B4-BE49-F238E27FC236}">
              <a16:creationId xmlns:a16="http://schemas.microsoft.com/office/drawing/2014/main" id="{7A1D45DF-8A6E-DDD2-64EB-6E8349268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11298238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33</xdr:row>
      <xdr:rowOff>39688</xdr:rowOff>
    </xdr:from>
    <xdr:to>
      <xdr:col>147</xdr:col>
      <xdr:colOff>460375</xdr:colOff>
      <xdr:row>33</xdr:row>
      <xdr:rowOff>293688</xdr:rowOff>
    </xdr:to>
    <xdr:pic>
      <xdr:nvPicPr>
        <xdr:cNvPr id="1593" name="Picture 1592">
          <a:extLst>
            <a:ext uri="{FF2B5EF4-FFF2-40B4-BE49-F238E27FC236}">
              <a16:creationId xmlns:a16="http://schemas.microsoft.com/office/drawing/2014/main" id="{A715CEC0-6FC1-4B7F-0BBA-B94E323611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11298238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33</xdr:row>
      <xdr:rowOff>39688</xdr:rowOff>
    </xdr:from>
    <xdr:to>
      <xdr:col>111</xdr:col>
      <xdr:colOff>460375</xdr:colOff>
      <xdr:row>33</xdr:row>
      <xdr:rowOff>293688</xdr:rowOff>
    </xdr:to>
    <xdr:pic>
      <xdr:nvPicPr>
        <xdr:cNvPr id="1596" name="Picture 1595">
          <a:extLst>
            <a:ext uri="{FF2B5EF4-FFF2-40B4-BE49-F238E27FC236}">
              <a16:creationId xmlns:a16="http://schemas.microsoft.com/office/drawing/2014/main" id="{1F89C4AC-BDD9-8D8B-858E-A0764B37E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11298238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33</xdr:row>
      <xdr:rowOff>39688</xdr:rowOff>
    </xdr:from>
    <xdr:to>
      <xdr:col>183</xdr:col>
      <xdr:colOff>460375</xdr:colOff>
      <xdr:row>33</xdr:row>
      <xdr:rowOff>293688</xdr:rowOff>
    </xdr:to>
    <xdr:pic>
      <xdr:nvPicPr>
        <xdr:cNvPr id="1599" name="Picture 1598">
          <a:extLst>
            <a:ext uri="{FF2B5EF4-FFF2-40B4-BE49-F238E27FC236}">
              <a16:creationId xmlns:a16="http://schemas.microsoft.com/office/drawing/2014/main" id="{B64DF5FC-6DA9-6F7E-AC66-8A52A6B2E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11298238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33</xdr:row>
      <xdr:rowOff>39688</xdr:rowOff>
    </xdr:from>
    <xdr:to>
      <xdr:col>231</xdr:col>
      <xdr:colOff>460375</xdr:colOff>
      <xdr:row>33</xdr:row>
      <xdr:rowOff>293688</xdr:rowOff>
    </xdr:to>
    <xdr:pic>
      <xdr:nvPicPr>
        <xdr:cNvPr id="1602" name="Picture 1601">
          <a:extLst>
            <a:ext uri="{FF2B5EF4-FFF2-40B4-BE49-F238E27FC236}">
              <a16:creationId xmlns:a16="http://schemas.microsoft.com/office/drawing/2014/main" id="{E61B22C7-8EDC-66FA-906C-FD5BFBFCAD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11298238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33</xdr:row>
      <xdr:rowOff>39688</xdr:rowOff>
    </xdr:from>
    <xdr:to>
      <xdr:col>195</xdr:col>
      <xdr:colOff>460375</xdr:colOff>
      <xdr:row>33</xdr:row>
      <xdr:rowOff>293688</xdr:rowOff>
    </xdr:to>
    <xdr:pic>
      <xdr:nvPicPr>
        <xdr:cNvPr id="1605" name="Picture 1604">
          <a:extLst>
            <a:ext uri="{FF2B5EF4-FFF2-40B4-BE49-F238E27FC236}">
              <a16:creationId xmlns:a16="http://schemas.microsoft.com/office/drawing/2014/main" id="{D3691ED2-3F1C-6407-6FBA-ADC178ADF9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11298238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33</xdr:row>
      <xdr:rowOff>39688</xdr:rowOff>
    </xdr:from>
    <xdr:to>
      <xdr:col>171</xdr:col>
      <xdr:colOff>460375</xdr:colOff>
      <xdr:row>33</xdr:row>
      <xdr:rowOff>293688</xdr:rowOff>
    </xdr:to>
    <xdr:pic>
      <xdr:nvPicPr>
        <xdr:cNvPr id="1608" name="Picture 1607">
          <a:extLst>
            <a:ext uri="{FF2B5EF4-FFF2-40B4-BE49-F238E27FC236}">
              <a16:creationId xmlns:a16="http://schemas.microsoft.com/office/drawing/2014/main" id="{EED43DA3-8642-38EC-76D2-ABF483A50E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11298238"/>
          <a:ext cx="254000" cy="254000"/>
        </a:xfrm>
        <a:prstGeom prst="rect">
          <a:avLst/>
        </a:prstGeom>
      </xdr:spPr>
    </xdr:pic>
    <xdr:clientData/>
  </xdr:twoCellAnchor>
  <xdr:twoCellAnchor>
    <xdr:from>
      <xdr:col>207</xdr:col>
      <xdr:colOff>263525</xdr:colOff>
      <xdr:row>33</xdr:row>
      <xdr:rowOff>39688</xdr:rowOff>
    </xdr:from>
    <xdr:to>
      <xdr:col>207</xdr:col>
      <xdr:colOff>403225</xdr:colOff>
      <xdr:row>33</xdr:row>
      <xdr:rowOff>293688</xdr:rowOff>
    </xdr:to>
    <xdr:pic>
      <xdr:nvPicPr>
        <xdr:cNvPr id="1611" name="Picture 1610">
          <a:extLst>
            <a:ext uri="{FF2B5EF4-FFF2-40B4-BE49-F238E27FC236}">
              <a16:creationId xmlns:a16="http://schemas.microsoft.com/office/drawing/2014/main" id="{845DEBA2-8DA3-BAB1-C344-9DA2D0C38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926975" y="11298238"/>
          <a:ext cx="139700" cy="254000"/>
        </a:xfrm>
        <a:prstGeom prst="rect">
          <a:avLst/>
        </a:prstGeom>
      </xdr:spPr>
    </xdr:pic>
    <xdr:clientData/>
  </xdr:twoCellAnchor>
  <xdr:twoCellAnchor>
    <xdr:from>
      <xdr:col>135</xdr:col>
      <xdr:colOff>181211</xdr:colOff>
      <xdr:row>33</xdr:row>
      <xdr:rowOff>39688</xdr:rowOff>
    </xdr:from>
    <xdr:to>
      <xdr:col>135</xdr:col>
      <xdr:colOff>485543</xdr:colOff>
      <xdr:row>33</xdr:row>
      <xdr:rowOff>293688</xdr:rowOff>
    </xdr:to>
    <xdr:pic>
      <xdr:nvPicPr>
        <xdr:cNvPr id="1614" name="Picture 1613">
          <a:extLst>
            <a:ext uri="{FF2B5EF4-FFF2-40B4-BE49-F238E27FC236}">
              <a16:creationId xmlns:a16="http://schemas.microsoft.com/office/drawing/2014/main" id="{DC00D728-5F47-792C-567B-3008DEDF5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39211" y="11298238"/>
          <a:ext cx="304332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33</xdr:row>
      <xdr:rowOff>39688</xdr:rowOff>
    </xdr:from>
    <xdr:to>
      <xdr:col>219</xdr:col>
      <xdr:colOff>460375</xdr:colOff>
      <xdr:row>33</xdr:row>
      <xdr:rowOff>293688</xdr:rowOff>
    </xdr:to>
    <xdr:pic>
      <xdr:nvPicPr>
        <xdr:cNvPr id="1617" name="Picture 1616">
          <a:extLst>
            <a:ext uri="{FF2B5EF4-FFF2-40B4-BE49-F238E27FC236}">
              <a16:creationId xmlns:a16="http://schemas.microsoft.com/office/drawing/2014/main" id="{A8985F6E-4B33-C854-EDDD-04BA175798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11298238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33</xdr:row>
      <xdr:rowOff>39688</xdr:rowOff>
    </xdr:from>
    <xdr:to>
      <xdr:col>159</xdr:col>
      <xdr:colOff>460375</xdr:colOff>
      <xdr:row>33</xdr:row>
      <xdr:rowOff>293688</xdr:rowOff>
    </xdr:to>
    <xdr:pic>
      <xdr:nvPicPr>
        <xdr:cNvPr id="1620" name="Picture 1619">
          <a:extLst>
            <a:ext uri="{FF2B5EF4-FFF2-40B4-BE49-F238E27FC236}">
              <a16:creationId xmlns:a16="http://schemas.microsoft.com/office/drawing/2014/main" id="{231F1CFD-C352-B4DA-9204-FAC137C898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1129823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230003</xdr:colOff>
      <xdr:row>34</xdr:row>
      <xdr:rowOff>39688</xdr:rowOff>
    </xdr:from>
    <xdr:to>
      <xdr:col>15</xdr:col>
      <xdr:colOff>436747</xdr:colOff>
      <xdr:row>34</xdr:row>
      <xdr:rowOff>293688</xdr:rowOff>
    </xdr:to>
    <xdr:pic>
      <xdr:nvPicPr>
        <xdr:cNvPr id="1623" name="Picture 1622">
          <a:extLst>
            <a:ext uri="{FF2B5EF4-FFF2-40B4-BE49-F238E27FC236}">
              <a16:creationId xmlns:a16="http://schemas.microsoft.com/office/drawing/2014/main" id="{B1365260-8509-9D02-1B89-03A5259962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93203" y="11631613"/>
          <a:ext cx="206744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34</xdr:row>
      <xdr:rowOff>39688</xdr:rowOff>
    </xdr:from>
    <xdr:to>
      <xdr:col>123</xdr:col>
      <xdr:colOff>460375</xdr:colOff>
      <xdr:row>34</xdr:row>
      <xdr:rowOff>293688</xdr:rowOff>
    </xdr:to>
    <xdr:pic>
      <xdr:nvPicPr>
        <xdr:cNvPr id="1626" name="Picture 1625">
          <a:extLst>
            <a:ext uri="{FF2B5EF4-FFF2-40B4-BE49-F238E27FC236}">
              <a16:creationId xmlns:a16="http://schemas.microsoft.com/office/drawing/2014/main" id="{2DCE670F-21AD-7003-5D96-C59F51028C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11631613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34</xdr:row>
      <xdr:rowOff>39688</xdr:rowOff>
    </xdr:from>
    <xdr:to>
      <xdr:col>39</xdr:col>
      <xdr:colOff>460375</xdr:colOff>
      <xdr:row>34</xdr:row>
      <xdr:rowOff>293688</xdr:rowOff>
    </xdr:to>
    <xdr:pic>
      <xdr:nvPicPr>
        <xdr:cNvPr id="1629" name="Picture 1628">
          <a:extLst>
            <a:ext uri="{FF2B5EF4-FFF2-40B4-BE49-F238E27FC236}">
              <a16:creationId xmlns:a16="http://schemas.microsoft.com/office/drawing/2014/main" id="{C1BFF91F-1CBA-2D0A-B611-A1BD50370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11631613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34</xdr:row>
      <xdr:rowOff>39688</xdr:rowOff>
    </xdr:from>
    <xdr:to>
      <xdr:col>51</xdr:col>
      <xdr:colOff>460375</xdr:colOff>
      <xdr:row>34</xdr:row>
      <xdr:rowOff>293688</xdr:rowOff>
    </xdr:to>
    <xdr:pic>
      <xdr:nvPicPr>
        <xdr:cNvPr id="1632" name="Picture 1631">
          <a:extLst>
            <a:ext uri="{FF2B5EF4-FFF2-40B4-BE49-F238E27FC236}">
              <a16:creationId xmlns:a16="http://schemas.microsoft.com/office/drawing/2014/main" id="{DC5D112A-E6AF-3E5D-94D2-9C3E181533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11631613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223131</xdr:colOff>
      <xdr:row>34</xdr:row>
      <xdr:rowOff>39688</xdr:rowOff>
    </xdr:from>
    <xdr:to>
      <xdr:col>75</xdr:col>
      <xdr:colOff>443617</xdr:colOff>
      <xdr:row>34</xdr:row>
      <xdr:rowOff>293688</xdr:rowOff>
    </xdr:to>
    <xdr:pic>
      <xdr:nvPicPr>
        <xdr:cNvPr id="1635" name="Picture 1634">
          <a:extLst>
            <a:ext uri="{FF2B5EF4-FFF2-40B4-BE49-F238E27FC236}">
              <a16:creationId xmlns:a16="http://schemas.microsoft.com/office/drawing/2014/main" id="{D0F1EAF0-846F-E1E5-1C3C-42F58EE42C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43256" y="11631613"/>
          <a:ext cx="220486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34</xdr:row>
      <xdr:rowOff>39688</xdr:rowOff>
    </xdr:from>
    <xdr:to>
      <xdr:col>63</xdr:col>
      <xdr:colOff>460375</xdr:colOff>
      <xdr:row>34</xdr:row>
      <xdr:rowOff>293688</xdr:rowOff>
    </xdr:to>
    <xdr:pic>
      <xdr:nvPicPr>
        <xdr:cNvPr id="1638" name="Picture 1637">
          <a:extLst>
            <a:ext uri="{FF2B5EF4-FFF2-40B4-BE49-F238E27FC236}">
              <a16:creationId xmlns:a16="http://schemas.microsoft.com/office/drawing/2014/main" id="{61038BC8-482D-A4A8-22AD-94954DCD3E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11631613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34</xdr:row>
      <xdr:rowOff>39688</xdr:rowOff>
    </xdr:from>
    <xdr:to>
      <xdr:col>87</xdr:col>
      <xdr:colOff>460375</xdr:colOff>
      <xdr:row>34</xdr:row>
      <xdr:rowOff>293688</xdr:rowOff>
    </xdr:to>
    <xdr:pic>
      <xdr:nvPicPr>
        <xdr:cNvPr id="1641" name="Picture 1640">
          <a:extLst>
            <a:ext uri="{FF2B5EF4-FFF2-40B4-BE49-F238E27FC236}">
              <a16:creationId xmlns:a16="http://schemas.microsoft.com/office/drawing/2014/main" id="{5F7E1B08-775B-C7C4-D20F-A0BA827AC0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11631613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34</xdr:row>
      <xdr:rowOff>39688</xdr:rowOff>
    </xdr:from>
    <xdr:to>
      <xdr:col>231</xdr:col>
      <xdr:colOff>460375</xdr:colOff>
      <xdr:row>34</xdr:row>
      <xdr:rowOff>293688</xdr:rowOff>
    </xdr:to>
    <xdr:pic>
      <xdr:nvPicPr>
        <xdr:cNvPr id="1644" name="Picture 1643">
          <a:extLst>
            <a:ext uri="{FF2B5EF4-FFF2-40B4-BE49-F238E27FC236}">
              <a16:creationId xmlns:a16="http://schemas.microsoft.com/office/drawing/2014/main" id="{DB5E2788-C58C-81F5-8F12-80918ED944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11631613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34</xdr:row>
      <xdr:rowOff>39688</xdr:rowOff>
    </xdr:from>
    <xdr:to>
      <xdr:col>99</xdr:col>
      <xdr:colOff>460375</xdr:colOff>
      <xdr:row>34</xdr:row>
      <xdr:rowOff>293688</xdr:rowOff>
    </xdr:to>
    <xdr:pic>
      <xdr:nvPicPr>
        <xdr:cNvPr id="1647" name="Picture 1646">
          <a:extLst>
            <a:ext uri="{FF2B5EF4-FFF2-40B4-BE49-F238E27FC236}">
              <a16:creationId xmlns:a16="http://schemas.microsoft.com/office/drawing/2014/main" id="{6614F344-1204-0A41-E36D-C8C6F855D4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11631613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34</xdr:row>
      <xdr:rowOff>39688</xdr:rowOff>
    </xdr:from>
    <xdr:to>
      <xdr:col>159</xdr:col>
      <xdr:colOff>460375</xdr:colOff>
      <xdr:row>34</xdr:row>
      <xdr:rowOff>293688</xdr:rowOff>
    </xdr:to>
    <xdr:pic>
      <xdr:nvPicPr>
        <xdr:cNvPr id="1650" name="Picture 1649">
          <a:extLst>
            <a:ext uri="{FF2B5EF4-FFF2-40B4-BE49-F238E27FC236}">
              <a16:creationId xmlns:a16="http://schemas.microsoft.com/office/drawing/2014/main" id="{8784DB05-FF7F-951B-71C6-9489FFB007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11631613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34</xdr:row>
      <xdr:rowOff>39688</xdr:rowOff>
    </xdr:from>
    <xdr:to>
      <xdr:col>147</xdr:col>
      <xdr:colOff>460375</xdr:colOff>
      <xdr:row>34</xdr:row>
      <xdr:rowOff>293688</xdr:rowOff>
    </xdr:to>
    <xdr:pic>
      <xdr:nvPicPr>
        <xdr:cNvPr id="1653" name="Picture 1652">
          <a:extLst>
            <a:ext uri="{FF2B5EF4-FFF2-40B4-BE49-F238E27FC236}">
              <a16:creationId xmlns:a16="http://schemas.microsoft.com/office/drawing/2014/main" id="{5739E1AF-B767-4245-CDF7-2DF6A9EDE7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11631613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34</xdr:row>
      <xdr:rowOff>39688</xdr:rowOff>
    </xdr:from>
    <xdr:to>
      <xdr:col>171</xdr:col>
      <xdr:colOff>460375</xdr:colOff>
      <xdr:row>34</xdr:row>
      <xdr:rowOff>293688</xdr:rowOff>
    </xdr:to>
    <xdr:pic>
      <xdr:nvPicPr>
        <xdr:cNvPr id="1656" name="Picture 1655">
          <a:extLst>
            <a:ext uri="{FF2B5EF4-FFF2-40B4-BE49-F238E27FC236}">
              <a16:creationId xmlns:a16="http://schemas.microsoft.com/office/drawing/2014/main" id="{B7030410-4502-868B-9234-19DC91152C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11631613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263525</xdr:colOff>
      <xdr:row>34</xdr:row>
      <xdr:rowOff>39688</xdr:rowOff>
    </xdr:from>
    <xdr:to>
      <xdr:col>183</xdr:col>
      <xdr:colOff>403225</xdr:colOff>
      <xdr:row>34</xdr:row>
      <xdr:rowOff>293688</xdr:rowOff>
    </xdr:to>
    <xdr:pic>
      <xdr:nvPicPr>
        <xdr:cNvPr id="1659" name="Picture 1658">
          <a:extLst>
            <a:ext uri="{FF2B5EF4-FFF2-40B4-BE49-F238E27FC236}">
              <a16:creationId xmlns:a16="http://schemas.microsoft.com/office/drawing/2014/main" id="{F836497B-FD19-B40F-CE30-748F168F39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91825" y="11631613"/>
          <a:ext cx="1397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34</xdr:row>
      <xdr:rowOff>39688</xdr:rowOff>
    </xdr:from>
    <xdr:to>
      <xdr:col>135</xdr:col>
      <xdr:colOff>460375</xdr:colOff>
      <xdr:row>34</xdr:row>
      <xdr:rowOff>293688</xdr:rowOff>
    </xdr:to>
    <xdr:pic>
      <xdr:nvPicPr>
        <xdr:cNvPr id="1662" name="Picture 1661">
          <a:extLst>
            <a:ext uri="{FF2B5EF4-FFF2-40B4-BE49-F238E27FC236}">
              <a16:creationId xmlns:a16="http://schemas.microsoft.com/office/drawing/2014/main" id="{8172157F-1D24-E377-AD1E-1EDD820C4C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11631613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34</xdr:row>
      <xdr:rowOff>39688</xdr:rowOff>
    </xdr:from>
    <xdr:to>
      <xdr:col>195</xdr:col>
      <xdr:colOff>460375</xdr:colOff>
      <xdr:row>34</xdr:row>
      <xdr:rowOff>293688</xdr:rowOff>
    </xdr:to>
    <xdr:pic>
      <xdr:nvPicPr>
        <xdr:cNvPr id="1665" name="Picture 1664">
          <a:extLst>
            <a:ext uri="{FF2B5EF4-FFF2-40B4-BE49-F238E27FC236}">
              <a16:creationId xmlns:a16="http://schemas.microsoft.com/office/drawing/2014/main" id="{C3C2881D-781D-B23C-CEAB-CF0A0CB3BA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1163161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34</xdr:row>
      <xdr:rowOff>39688</xdr:rowOff>
    </xdr:from>
    <xdr:to>
      <xdr:col>3</xdr:col>
      <xdr:colOff>460375</xdr:colOff>
      <xdr:row>34</xdr:row>
      <xdr:rowOff>293688</xdr:rowOff>
    </xdr:to>
    <xdr:pic>
      <xdr:nvPicPr>
        <xdr:cNvPr id="1668" name="Picture 1667">
          <a:extLst>
            <a:ext uri="{FF2B5EF4-FFF2-40B4-BE49-F238E27FC236}">
              <a16:creationId xmlns:a16="http://schemas.microsoft.com/office/drawing/2014/main" id="{DFA4CFA6-FC7C-6C79-06CF-84AA9FEC8A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11631613"/>
          <a:ext cx="254000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34</xdr:row>
      <xdr:rowOff>39688</xdr:rowOff>
    </xdr:from>
    <xdr:to>
      <xdr:col>207</xdr:col>
      <xdr:colOff>460375</xdr:colOff>
      <xdr:row>34</xdr:row>
      <xdr:rowOff>293688</xdr:rowOff>
    </xdr:to>
    <xdr:pic>
      <xdr:nvPicPr>
        <xdr:cNvPr id="1671" name="Picture 1670">
          <a:extLst>
            <a:ext uri="{FF2B5EF4-FFF2-40B4-BE49-F238E27FC236}">
              <a16:creationId xmlns:a16="http://schemas.microsoft.com/office/drawing/2014/main" id="{1CCBB982-4994-770D-3420-743DF30D86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11631613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181211</xdr:colOff>
      <xdr:row>34</xdr:row>
      <xdr:rowOff>39688</xdr:rowOff>
    </xdr:from>
    <xdr:to>
      <xdr:col>111</xdr:col>
      <xdr:colOff>485543</xdr:colOff>
      <xdr:row>34</xdr:row>
      <xdr:rowOff>293688</xdr:rowOff>
    </xdr:to>
    <xdr:pic>
      <xdr:nvPicPr>
        <xdr:cNvPr id="1674" name="Picture 1673">
          <a:extLst>
            <a:ext uri="{FF2B5EF4-FFF2-40B4-BE49-F238E27FC236}">
              <a16:creationId xmlns:a16="http://schemas.microsoft.com/office/drawing/2014/main" id="{29E0ED7F-B140-9FB6-43C0-AE106F9718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04061" y="11631613"/>
          <a:ext cx="304332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34</xdr:row>
      <xdr:rowOff>39688</xdr:rowOff>
    </xdr:from>
    <xdr:to>
      <xdr:col>219</xdr:col>
      <xdr:colOff>460375</xdr:colOff>
      <xdr:row>34</xdr:row>
      <xdr:rowOff>293688</xdr:rowOff>
    </xdr:to>
    <xdr:pic>
      <xdr:nvPicPr>
        <xdr:cNvPr id="1677" name="Picture 1676">
          <a:extLst>
            <a:ext uri="{FF2B5EF4-FFF2-40B4-BE49-F238E27FC236}">
              <a16:creationId xmlns:a16="http://schemas.microsoft.com/office/drawing/2014/main" id="{2AE1095C-9E18-838A-65DC-659F953AA4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11631613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34</xdr:row>
      <xdr:rowOff>39688</xdr:rowOff>
    </xdr:from>
    <xdr:to>
      <xdr:col>27</xdr:col>
      <xdr:colOff>460375</xdr:colOff>
      <xdr:row>34</xdr:row>
      <xdr:rowOff>293688</xdr:rowOff>
    </xdr:to>
    <xdr:pic>
      <xdr:nvPicPr>
        <xdr:cNvPr id="1680" name="Picture 1679">
          <a:extLst>
            <a:ext uri="{FF2B5EF4-FFF2-40B4-BE49-F238E27FC236}">
              <a16:creationId xmlns:a16="http://schemas.microsoft.com/office/drawing/2014/main" id="{C68BF111-3917-33B9-6E41-A03A005CD6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1163161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35</xdr:row>
      <xdr:rowOff>39688</xdr:rowOff>
    </xdr:from>
    <xdr:to>
      <xdr:col>3</xdr:col>
      <xdr:colOff>460375</xdr:colOff>
      <xdr:row>35</xdr:row>
      <xdr:rowOff>293688</xdr:rowOff>
    </xdr:to>
    <xdr:pic>
      <xdr:nvPicPr>
        <xdr:cNvPr id="1683" name="Picture 1682">
          <a:extLst>
            <a:ext uri="{FF2B5EF4-FFF2-40B4-BE49-F238E27FC236}">
              <a16:creationId xmlns:a16="http://schemas.microsoft.com/office/drawing/2014/main" id="{31CD7AE0-26AC-6BCA-063F-7FEB8F7DDF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11964988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35</xdr:row>
      <xdr:rowOff>39688</xdr:rowOff>
    </xdr:from>
    <xdr:to>
      <xdr:col>75</xdr:col>
      <xdr:colOff>460375</xdr:colOff>
      <xdr:row>35</xdr:row>
      <xdr:rowOff>293688</xdr:rowOff>
    </xdr:to>
    <xdr:pic>
      <xdr:nvPicPr>
        <xdr:cNvPr id="1686" name="Picture 1685">
          <a:extLst>
            <a:ext uri="{FF2B5EF4-FFF2-40B4-BE49-F238E27FC236}">
              <a16:creationId xmlns:a16="http://schemas.microsoft.com/office/drawing/2014/main" id="{EEAD3E23-6031-B557-4208-F114008FA7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11964988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181209</xdr:colOff>
      <xdr:row>35</xdr:row>
      <xdr:rowOff>39688</xdr:rowOff>
    </xdr:from>
    <xdr:to>
      <xdr:col>27</xdr:col>
      <xdr:colOff>485541</xdr:colOff>
      <xdr:row>35</xdr:row>
      <xdr:rowOff>293688</xdr:rowOff>
    </xdr:to>
    <xdr:pic>
      <xdr:nvPicPr>
        <xdr:cNvPr id="1689" name="Picture 1688">
          <a:extLst>
            <a:ext uri="{FF2B5EF4-FFF2-40B4-BE49-F238E27FC236}">
              <a16:creationId xmlns:a16="http://schemas.microsoft.com/office/drawing/2014/main" id="{F612A01B-F283-A528-983D-27C1E08082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21509" y="11964988"/>
          <a:ext cx="304332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35</xdr:row>
      <xdr:rowOff>39688</xdr:rowOff>
    </xdr:from>
    <xdr:to>
      <xdr:col>207</xdr:col>
      <xdr:colOff>460375</xdr:colOff>
      <xdr:row>35</xdr:row>
      <xdr:rowOff>293688</xdr:rowOff>
    </xdr:to>
    <xdr:pic>
      <xdr:nvPicPr>
        <xdr:cNvPr id="1692" name="Picture 1691">
          <a:extLst>
            <a:ext uri="{FF2B5EF4-FFF2-40B4-BE49-F238E27FC236}">
              <a16:creationId xmlns:a16="http://schemas.microsoft.com/office/drawing/2014/main" id="{A2BE3140-6920-8E6F-F850-E1D344E37B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11964988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35</xdr:row>
      <xdr:rowOff>39688</xdr:rowOff>
    </xdr:from>
    <xdr:to>
      <xdr:col>51</xdr:col>
      <xdr:colOff>460375</xdr:colOff>
      <xdr:row>35</xdr:row>
      <xdr:rowOff>293688</xdr:rowOff>
    </xdr:to>
    <xdr:pic>
      <xdr:nvPicPr>
        <xdr:cNvPr id="1695" name="Picture 1694">
          <a:extLst>
            <a:ext uri="{FF2B5EF4-FFF2-40B4-BE49-F238E27FC236}">
              <a16:creationId xmlns:a16="http://schemas.microsoft.com/office/drawing/2014/main" id="{8EF67239-100D-F759-06DE-5AA4652032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11964988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35</xdr:row>
      <xdr:rowOff>39688</xdr:rowOff>
    </xdr:from>
    <xdr:to>
      <xdr:col>183</xdr:col>
      <xdr:colOff>460375</xdr:colOff>
      <xdr:row>35</xdr:row>
      <xdr:rowOff>293688</xdr:rowOff>
    </xdr:to>
    <xdr:pic>
      <xdr:nvPicPr>
        <xdr:cNvPr id="1698" name="Picture 1697">
          <a:extLst>
            <a:ext uri="{FF2B5EF4-FFF2-40B4-BE49-F238E27FC236}">
              <a16:creationId xmlns:a16="http://schemas.microsoft.com/office/drawing/2014/main" id="{3B867C40-73E1-202D-C724-B5CC8557CB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11964988"/>
          <a:ext cx="254000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35</xdr:row>
      <xdr:rowOff>39688</xdr:rowOff>
    </xdr:from>
    <xdr:to>
      <xdr:col>63</xdr:col>
      <xdr:colOff>460375</xdr:colOff>
      <xdr:row>35</xdr:row>
      <xdr:rowOff>293688</xdr:rowOff>
    </xdr:to>
    <xdr:pic>
      <xdr:nvPicPr>
        <xdr:cNvPr id="1701" name="Picture 1700">
          <a:extLst>
            <a:ext uri="{FF2B5EF4-FFF2-40B4-BE49-F238E27FC236}">
              <a16:creationId xmlns:a16="http://schemas.microsoft.com/office/drawing/2014/main" id="{3C115CB7-15AA-3A7C-7F00-CC26B53DF2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11964988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223132</xdr:colOff>
      <xdr:row>35</xdr:row>
      <xdr:rowOff>39688</xdr:rowOff>
    </xdr:from>
    <xdr:to>
      <xdr:col>39</xdr:col>
      <xdr:colOff>443618</xdr:colOff>
      <xdr:row>35</xdr:row>
      <xdr:rowOff>293688</xdr:rowOff>
    </xdr:to>
    <xdr:pic>
      <xdr:nvPicPr>
        <xdr:cNvPr id="1704" name="Picture 1703">
          <a:extLst>
            <a:ext uri="{FF2B5EF4-FFF2-40B4-BE49-F238E27FC236}">
              <a16:creationId xmlns:a16="http://schemas.microsoft.com/office/drawing/2014/main" id="{97823C94-036E-EE31-0F6E-E32B50951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21482" y="11964988"/>
          <a:ext cx="220486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35</xdr:row>
      <xdr:rowOff>39688</xdr:rowOff>
    </xdr:from>
    <xdr:to>
      <xdr:col>111</xdr:col>
      <xdr:colOff>460375</xdr:colOff>
      <xdr:row>35</xdr:row>
      <xdr:rowOff>293688</xdr:rowOff>
    </xdr:to>
    <xdr:pic>
      <xdr:nvPicPr>
        <xdr:cNvPr id="1707" name="Picture 1706">
          <a:extLst>
            <a:ext uri="{FF2B5EF4-FFF2-40B4-BE49-F238E27FC236}">
              <a16:creationId xmlns:a16="http://schemas.microsoft.com/office/drawing/2014/main" id="{B7AF7963-4EB1-EF5B-B80A-884E63069B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11964988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35</xdr:row>
      <xdr:rowOff>39688</xdr:rowOff>
    </xdr:from>
    <xdr:to>
      <xdr:col>195</xdr:col>
      <xdr:colOff>460375</xdr:colOff>
      <xdr:row>35</xdr:row>
      <xdr:rowOff>293688</xdr:rowOff>
    </xdr:to>
    <xdr:pic>
      <xdr:nvPicPr>
        <xdr:cNvPr id="1710" name="Picture 1709">
          <a:extLst>
            <a:ext uri="{FF2B5EF4-FFF2-40B4-BE49-F238E27FC236}">
              <a16:creationId xmlns:a16="http://schemas.microsoft.com/office/drawing/2014/main" id="{555494D1-6A96-E057-A663-86D79B535B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11964988"/>
          <a:ext cx="254000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35</xdr:row>
      <xdr:rowOff>39688</xdr:rowOff>
    </xdr:from>
    <xdr:to>
      <xdr:col>123</xdr:col>
      <xdr:colOff>460375</xdr:colOff>
      <xdr:row>35</xdr:row>
      <xdr:rowOff>293688</xdr:rowOff>
    </xdr:to>
    <xdr:pic>
      <xdr:nvPicPr>
        <xdr:cNvPr id="1713" name="Picture 1712">
          <a:extLst>
            <a:ext uri="{FF2B5EF4-FFF2-40B4-BE49-F238E27FC236}">
              <a16:creationId xmlns:a16="http://schemas.microsoft.com/office/drawing/2014/main" id="{E650C23E-BF9C-9E10-FCAF-ED93C9F061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11964988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230001</xdr:colOff>
      <xdr:row>35</xdr:row>
      <xdr:rowOff>39688</xdr:rowOff>
    </xdr:from>
    <xdr:to>
      <xdr:col>147</xdr:col>
      <xdr:colOff>436745</xdr:colOff>
      <xdr:row>35</xdr:row>
      <xdr:rowOff>293688</xdr:rowOff>
    </xdr:to>
    <xdr:pic>
      <xdr:nvPicPr>
        <xdr:cNvPr id="1716" name="Picture 1715">
          <a:extLst>
            <a:ext uri="{FF2B5EF4-FFF2-40B4-BE49-F238E27FC236}">
              <a16:creationId xmlns:a16="http://schemas.microsoft.com/office/drawing/2014/main" id="{AB45F19F-288F-70D5-D7DE-9A5AE6C5C1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55576" y="11964988"/>
          <a:ext cx="206744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35</xdr:row>
      <xdr:rowOff>39688</xdr:rowOff>
    </xdr:from>
    <xdr:to>
      <xdr:col>135</xdr:col>
      <xdr:colOff>460375</xdr:colOff>
      <xdr:row>35</xdr:row>
      <xdr:rowOff>293688</xdr:rowOff>
    </xdr:to>
    <xdr:pic>
      <xdr:nvPicPr>
        <xdr:cNvPr id="1719" name="Picture 1718">
          <a:extLst>
            <a:ext uri="{FF2B5EF4-FFF2-40B4-BE49-F238E27FC236}">
              <a16:creationId xmlns:a16="http://schemas.microsoft.com/office/drawing/2014/main" id="{6F8BF566-B49B-DB84-12E7-D5E667316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11964988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263525</xdr:colOff>
      <xdr:row>35</xdr:row>
      <xdr:rowOff>39688</xdr:rowOff>
    </xdr:from>
    <xdr:to>
      <xdr:col>219</xdr:col>
      <xdr:colOff>403225</xdr:colOff>
      <xdr:row>35</xdr:row>
      <xdr:rowOff>293688</xdr:rowOff>
    </xdr:to>
    <xdr:pic>
      <xdr:nvPicPr>
        <xdr:cNvPr id="1722" name="Picture 1721">
          <a:extLst>
            <a:ext uri="{FF2B5EF4-FFF2-40B4-BE49-F238E27FC236}">
              <a16:creationId xmlns:a16="http://schemas.microsoft.com/office/drawing/2014/main" id="{DD955415-C577-111A-0135-82B04D49F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94550" y="11964988"/>
          <a:ext cx="1397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35</xdr:row>
      <xdr:rowOff>39688</xdr:rowOff>
    </xdr:from>
    <xdr:to>
      <xdr:col>159</xdr:col>
      <xdr:colOff>460375</xdr:colOff>
      <xdr:row>35</xdr:row>
      <xdr:rowOff>293688</xdr:rowOff>
    </xdr:to>
    <xdr:pic>
      <xdr:nvPicPr>
        <xdr:cNvPr id="1725" name="Picture 1724">
          <a:extLst>
            <a:ext uri="{FF2B5EF4-FFF2-40B4-BE49-F238E27FC236}">
              <a16:creationId xmlns:a16="http://schemas.microsoft.com/office/drawing/2014/main" id="{514E209C-6092-6294-6941-31AA9A6B3A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11964988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35</xdr:row>
      <xdr:rowOff>39688</xdr:rowOff>
    </xdr:from>
    <xdr:to>
      <xdr:col>87</xdr:col>
      <xdr:colOff>460375</xdr:colOff>
      <xdr:row>35</xdr:row>
      <xdr:rowOff>293688</xdr:rowOff>
    </xdr:to>
    <xdr:pic>
      <xdr:nvPicPr>
        <xdr:cNvPr id="1728" name="Picture 1727">
          <a:extLst>
            <a:ext uri="{FF2B5EF4-FFF2-40B4-BE49-F238E27FC236}">
              <a16:creationId xmlns:a16="http://schemas.microsoft.com/office/drawing/2014/main" id="{031BB4C0-AF2C-CF09-1687-FF620CCD3F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11964988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35</xdr:row>
      <xdr:rowOff>39688</xdr:rowOff>
    </xdr:from>
    <xdr:to>
      <xdr:col>171</xdr:col>
      <xdr:colOff>460375</xdr:colOff>
      <xdr:row>35</xdr:row>
      <xdr:rowOff>293688</xdr:rowOff>
    </xdr:to>
    <xdr:pic>
      <xdr:nvPicPr>
        <xdr:cNvPr id="1731" name="Picture 1730">
          <a:extLst>
            <a:ext uri="{FF2B5EF4-FFF2-40B4-BE49-F238E27FC236}">
              <a16:creationId xmlns:a16="http://schemas.microsoft.com/office/drawing/2014/main" id="{734200C7-E8B5-5FFB-E94A-CFC8F233E5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11964988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35</xdr:row>
      <xdr:rowOff>39688</xdr:rowOff>
    </xdr:from>
    <xdr:to>
      <xdr:col>99</xdr:col>
      <xdr:colOff>460375</xdr:colOff>
      <xdr:row>35</xdr:row>
      <xdr:rowOff>293688</xdr:rowOff>
    </xdr:to>
    <xdr:pic>
      <xdr:nvPicPr>
        <xdr:cNvPr id="1734" name="Picture 1733">
          <a:extLst>
            <a:ext uri="{FF2B5EF4-FFF2-40B4-BE49-F238E27FC236}">
              <a16:creationId xmlns:a16="http://schemas.microsoft.com/office/drawing/2014/main" id="{4339D3B4-A29F-6B84-781A-CBB12D7D15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11964988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35</xdr:row>
      <xdr:rowOff>39688</xdr:rowOff>
    </xdr:from>
    <xdr:to>
      <xdr:col>231</xdr:col>
      <xdr:colOff>460375</xdr:colOff>
      <xdr:row>35</xdr:row>
      <xdr:rowOff>293688</xdr:rowOff>
    </xdr:to>
    <xdr:pic>
      <xdr:nvPicPr>
        <xdr:cNvPr id="1737" name="Picture 1736">
          <a:extLst>
            <a:ext uri="{FF2B5EF4-FFF2-40B4-BE49-F238E27FC236}">
              <a16:creationId xmlns:a16="http://schemas.microsoft.com/office/drawing/2014/main" id="{D490206A-6BD9-1672-E010-C484DA734E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1196498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35</xdr:row>
      <xdr:rowOff>39688</xdr:rowOff>
    </xdr:from>
    <xdr:to>
      <xdr:col>15</xdr:col>
      <xdr:colOff>460375</xdr:colOff>
      <xdr:row>35</xdr:row>
      <xdr:rowOff>293688</xdr:rowOff>
    </xdr:to>
    <xdr:pic>
      <xdr:nvPicPr>
        <xdr:cNvPr id="1740" name="Picture 1739">
          <a:extLst>
            <a:ext uri="{FF2B5EF4-FFF2-40B4-BE49-F238E27FC236}">
              <a16:creationId xmlns:a16="http://schemas.microsoft.com/office/drawing/2014/main" id="{F771A07C-299B-2E00-EF29-CB1CC7427A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1196498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37</xdr:row>
      <xdr:rowOff>39688</xdr:rowOff>
    </xdr:from>
    <xdr:to>
      <xdr:col>15</xdr:col>
      <xdr:colOff>460375</xdr:colOff>
      <xdr:row>37</xdr:row>
      <xdr:rowOff>293688</xdr:rowOff>
    </xdr:to>
    <xdr:pic>
      <xdr:nvPicPr>
        <xdr:cNvPr id="1743" name="Picture 1742">
          <a:extLst>
            <a:ext uri="{FF2B5EF4-FFF2-40B4-BE49-F238E27FC236}">
              <a16:creationId xmlns:a16="http://schemas.microsoft.com/office/drawing/2014/main" id="{E7138A9B-3088-DE49-227B-8C790BE4B9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12631738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37</xdr:row>
      <xdr:rowOff>39688</xdr:rowOff>
    </xdr:from>
    <xdr:to>
      <xdr:col>75</xdr:col>
      <xdr:colOff>460375</xdr:colOff>
      <xdr:row>37</xdr:row>
      <xdr:rowOff>293688</xdr:rowOff>
    </xdr:to>
    <xdr:pic>
      <xdr:nvPicPr>
        <xdr:cNvPr id="1746" name="Picture 1745">
          <a:extLst>
            <a:ext uri="{FF2B5EF4-FFF2-40B4-BE49-F238E27FC236}">
              <a16:creationId xmlns:a16="http://schemas.microsoft.com/office/drawing/2014/main" id="{C10FF33D-13A6-24D3-4709-CD44C105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12631738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37</xdr:row>
      <xdr:rowOff>39688</xdr:rowOff>
    </xdr:from>
    <xdr:to>
      <xdr:col>27</xdr:col>
      <xdr:colOff>460375</xdr:colOff>
      <xdr:row>37</xdr:row>
      <xdr:rowOff>293688</xdr:rowOff>
    </xdr:to>
    <xdr:pic>
      <xdr:nvPicPr>
        <xdr:cNvPr id="1749" name="Picture 1748">
          <a:extLst>
            <a:ext uri="{FF2B5EF4-FFF2-40B4-BE49-F238E27FC236}">
              <a16:creationId xmlns:a16="http://schemas.microsoft.com/office/drawing/2014/main" id="{2552A92B-3378-7263-74DA-D11878A43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12631738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37</xdr:row>
      <xdr:rowOff>39688</xdr:rowOff>
    </xdr:from>
    <xdr:to>
      <xdr:col>39</xdr:col>
      <xdr:colOff>460375</xdr:colOff>
      <xdr:row>37</xdr:row>
      <xdr:rowOff>293688</xdr:rowOff>
    </xdr:to>
    <xdr:pic>
      <xdr:nvPicPr>
        <xdr:cNvPr id="1752" name="Picture 1751">
          <a:extLst>
            <a:ext uri="{FF2B5EF4-FFF2-40B4-BE49-F238E27FC236}">
              <a16:creationId xmlns:a16="http://schemas.microsoft.com/office/drawing/2014/main" id="{2EA13B23-C5AB-AEB9-53C0-9BCA24452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12631738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37</xdr:row>
      <xdr:rowOff>39688</xdr:rowOff>
    </xdr:from>
    <xdr:to>
      <xdr:col>51</xdr:col>
      <xdr:colOff>460375</xdr:colOff>
      <xdr:row>37</xdr:row>
      <xdr:rowOff>293688</xdr:rowOff>
    </xdr:to>
    <xdr:pic>
      <xdr:nvPicPr>
        <xdr:cNvPr id="1755" name="Picture 1754">
          <a:extLst>
            <a:ext uri="{FF2B5EF4-FFF2-40B4-BE49-F238E27FC236}">
              <a16:creationId xmlns:a16="http://schemas.microsoft.com/office/drawing/2014/main" id="{5C413584-6C77-A600-FF3D-1EA7804B10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12631738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37</xdr:row>
      <xdr:rowOff>39688</xdr:rowOff>
    </xdr:from>
    <xdr:to>
      <xdr:col>3</xdr:col>
      <xdr:colOff>460375</xdr:colOff>
      <xdr:row>37</xdr:row>
      <xdr:rowOff>293688</xdr:rowOff>
    </xdr:to>
    <xdr:pic>
      <xdr:nvPicPr>
        <xdr:cNvPr id="1758" name="Picture 1757">
          <a:extLst>
            <a:ext uri="{FF2B5EF4-FFF2-40B4-BE49-F238E27FC236}">
              <a16:creationId xmlns:a16="http://schemas.microsoft.com/office/drawing/2014/main" id="{6F5EA195-9056-DA86-E2A6-168A697C89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12631738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223131</xdr:colOff>
      <xdr:row>37</xdr:row>
      <xdr:rowOff>39688</xdr:rowOff>
    </xdr:from>
    <xdr:to>
      <xdr:col>99</xdr:col>
      <xdr:colOff>443617</xdr:colOff>
      <xdr:row>37</xdr:row>
      <xdr:rowOff>293688</xdr:rowOff>
    </xdr:to>
    <xdr:pic>
      <xdr:nvPicPr>
        <xdr:cNvPr id="1761" name="Picture 1760">
          <a:extLst>
            <a:ext uri="{FF2B5EF4-FFF2-40B4-BE49-F238E27FC236}">
              <a16:creationId xmlns:a16="http://schemas.microsoft.com/office/drawing/2014/main" id="{905B301D-28A6-AA49-A136-038666865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78406" y="12631738"/>
          <a:ext cx="220486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37</xdr:row>
      <xdr:rowOff>39688</xdr:rowOff>
    </xdr:from>
    <xdr:to>
      <xdr:col>63</xdr:col>
      <xdr:colOff>460375</xdr:colOff>
      <xdr:row>37</xdr:row>
      <xdr:rowOff>293688</xdr:rowOff>
    </xdr:to>
    <xdr:pic>
      <xdr:nvPicPr>
        <xdr:cNvPr id="1764" name="Picture 1763">
          <a:extLst>
            <a:ext uri="{FF2B5EF4-FFF2-40B4-BE49-F238E27FC236}">
              <a16:creationId xmlns:a16="http://schemas.microsoft.com/office/drawing/2014/main" id="{82806100-CA6A-B1C7-D932-7AE82B7A60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12631738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37</xdr:row>
      <xdr:rowOff>39688</xdr:rowOff>
    </xdr:from>
    <xdr:to>
      <xdr:col>111</xdr:col>
      <xdr:colOff>460375</xdr:colOff>
      <xdr:row>37</xdr:row>
      <xdr:rowOff>293688</xdr:rowOff>
    </xdr:to>
    <xdr:pic>
      <xdr:nvPicPr>
        <xdr:cNvPr id="1767" name="Picture 1766">
          <a:extLst>
            <a:ext uri="{FF2B5EF4-FFF2-40B4-BE49-F238E27FC236}">
              <a16:creationId xmlns:a16="http://schemas.microsoft.com/office/drawing/2014/main" id="{9E7FFB3A-1CBA-4DBD-DC4A-9A047214C3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12631738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37</xdr:row>
      <xdr:rowOff>39688</xdr:rowOff>
    </xdr:from>
    <xdr:to>
      <xdr:col>219</xdr:col>
      <xdr:colOff>460375</xdr:colOff>
      <xdr:row>37</xdr:row>
      <xdr:rowOff>293688</xdr:rowOff>
    </xdr:to>
    <xdr:pic>
      <xdr:nvPicPr>
        <xdr:cNvPr id="1770" name="Picture 1769">
          <a:extLst>
            <a:ext uri="{FF2B5EF4-FFF2-40B4-BE49-F238E27FC236}">
              <a16:creationId xmlns:a16="http://schemas.microsoft.com/office/drawing/2014/main" id="{00773720-BE91-9F02-42B2-1F36732305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12631738"/>
          <a:ext cx="254000" cy="254000"/>
        </a:xfrm>
        <a:prstGeom prst="rect">
          <a:avLst/>
        </a:prstGeom>
      </xdr:spPr>
    </xdr:pic>
    <xdr:clientData/>
  </xdr:twoCellAnchor>
  <xdr:twoCellAnchor>
    <xdr:from>
      <xdr:col>123</xdr:col>
      <xdr:colOff>181211</xdr:colOff>
      <xdr:row>37</xdr:row>
      <xdr:rowOff>39688</xdr:rowOff>
    </xdr:from>
    <xdr:to>
      <xdr:col>123</xdr:col>
      <xdr:colOff>485543</xdr:colOff>
      <xdr:row>37</xdr:row>
      <xdr:rowOff>293688</xdr:rowOff>
    </xdr:to>
    <xdr:pic>
      <xdr:nvPicPr>
        <xdr:cNvPr id="1773" name="Picture 1772">
          <a:extLst>
            <a:ext uri="{FF2B5EF4-FFF2-40B4-BE49-F238E27FC236}">
              <a16:creationId xmlns:a16="http://schemas.microsoft.com/office/drawing/2014/main" id="{CF8D7967-B6D1-09DD-856C-CA04EB16F9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71636" y="12631738"/>
          <a:ext cx="304332" cy="254000"/>
        </a:xfrm>
        <a:prstGeom prst="rect">
          <a:avLst/>
        </a:prstGeom>
      </xdr:spPr>
    </xdr:pic>
    <xdr:clientData/>
  </xdr:twoCellAnchor>
  <xdr:twoCellAnchor>
    <xdr:from>
      <xdr:col>207</xdr:col>
      <xdr:colOff>230001</xdr:colOff>
      <xdr:row>37</xdr:row>
      <xdr:rowOff>39688</xdr:rowOff>
    </xdr:from>
    <xdr:to>
      <xdr:col>207</xdr:col>
      <xdr:colOff>436745</xdr:colOff>
      <xdr:row>37</xdr:row>
      <xdr:rowOff>293688</xdr:rowOff>
    </xdr:to>
    <xdr:pic>
      <xdr:nvPicPr>
        <xdr:cNvPr id="1776" name="Picture 1775">
          <a:extLst>
            <a:ext uri="{FF2B5EF4-FFF2-40B4-BE49-F238E27FC236}">
              <a16:creationId xmlns:a16="http://schemas.microsoft.com/office/drawing/2014/main" id="{1E404286-F563-8CB3-6933-8DD7A9671B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93451" y="12631738"/>
          <a:ext cx="206744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37</xdr:row>
      <xdr:rowOff>39688</xdr:rowOff>
    </xdr:from>
    <xdr:to>
      <xdr:col>147</xdr:col>
      <xdr:colOff>460375</xdr:colOff>
      <xdr:row>37</xdr:row>
      <xdr:rowOff>293688</xdr:rowOff>
    </xdr:to>
    <xdr:pic>
      <xdr:nvPicPr>
        <xdr:cNvPr id="1779" name="Picture 1778">
          <a:extLst>
            <a:ext uri="{FF2B5EF4-FFF2-40B4-BE49-F238E27FC236}">
              <a16:creationId xmlns:a16="http://schemas.microsoft.com/office/drawing/2014/main" id="{A59C49BB-AAF0-350B-6308-B45B775A33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12631738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37</xdr:row>
      <xdr:rowOff>39688</xdr:rowOff>
    </xdr:from>
    <xdr:to>
      <xdr:col>183</xdr:col>
      <xdr:colOff>460375</xdr:colOff>
      <xdr:row>37</xdr:row>
      <xdr:rowOff>293688</xdr:rowOff>
    </xdr:to>
    <xdr:pic>
      <xdr:nvPicPr>
        <xdr:cNvPr id="1782" name="Picture 1781">
          <a:extLst>
            <a:ext uri="{FF2B5EF4-FFF2-40B4-BE49-F238E27FC236}">
              <a16:creationId xmlns:a16="http://schemas.microsoft.com/office/drawing/2014/main" id="{24924ED0-967B-B936-0AAC-54D8C254C9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12631738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37</xdr:row>
      <xdr:rowOff>39688</xdr:rowOff>
    </xdr:from>
    <xdr:to>
      <xdr:col>171</xdr:col>
      <xdr:colOff>460375</xdr:colOff>
      <xdr:row>37</xdr:row>
      <xdr:rowOff>293688</xdr:rowOff>
    </xdr:to>
    <xdr:pic>
      <xdr:nvPicPr>
        <xdr:cNvPr id="1785" name="Picture 1784">
          <a:extLst>
            <a:ext uri="{FF2B5EF4-FFF2-40B4-BE49-F238E27FC236}">
              <a16:creationId xmlns:a16="http://schemas.microsoft.com/office/drawing/2014/main" id="{EAF774A8-C964-8960-9C5A-AC93DBD4C7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12631738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37</xdr:row>
      <xdr:rowOff>39688</xdr:rowOff>
    </xdr:from>
    <xdr:to>
      <xdr:col>159</xdr:col>
      <xdr:colOff>460375</xdr:colOff>
      <xdr:row>37</xdr:row>
      <xdr:rowOff>293688</xdr:rowOff>
    </xdr:to>
    <xdr:pic>
      <xdr:nvPicPr>
        <xdr:cNvPr id="1788" name="Picture 1787">
          <a:extLst>
            <a:ext uri="{FF2B5EF4-FFF2-40B4-BE49-F238E27FC236}">
              <a16:creationId xmlns:a16="http://schemas.microsoft.com/office/drawing/2014/main" id="{537131DE-5909-3806-3CB9-F4DA4B8BA2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12631738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37</xdr:row>
      <xdr:rowOff>39688</xdr:rowOff>
    </xdr:from>
    <xdr:to>
      <xdr:col>195</xdr:col>
      <xdr:colOff>460375</xdr:colOff>
      <xdr:row>37</xdr:row>
      <xdr:rowOff>293688</xdr:rowOff>
    </xdr:to>
    <xdr:pic>
      <xdr:nvPicPr>
        <xdr:cNvPr id="1791" name="Picture 1790">
          <a:extLst>
            <a:ext uri="{FF2B5EF4-FFF2-40B4-BE49-F238E27FC236}">
              <a16:creationId xmlns:a16="http://schemas.microsoft.com/office/drawing/2014/main" id="{D5BCD222-169A-0E18-2DCE-A246AC82EA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12631738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37</xdr:row>
      <xdr:rowOff>39688</xdr:rowOff>
    </xdr:from>
    <xdr:to>
      <xdr:col>87</xdr:col>
      <xdr:colOff>460375</xdr:colOff>
      <xdr:row>37</xdr:row>
      <xdr:rowOff>293688</xdr:rowOff>
    </xdr:to>
    <xdr:pic>
      <xdr:nvPicPr>
        <xdr:cNvPr id="1794" name="Picture 1793">
          <a:extLst>
            <a:ext uri="{FF2B5EF4-FFF2-40B4-BE49-F238E27FC236}">
              <a16:creationId xmlns:a16="http://schemas.microsoft.com/office/drawing/2014/main" id="{4A965DA3-D27C-A0E4-3975-31D22AEE7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12631738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263525</xdr:colOff>
      <xdr:row>37</xdr:row>
      <xdr:rowOff>39688</xdr:rowOff>
    </xdr:from>
    <xdr:to>
      <xdr:col>231</xdr:col>
      <xdr:colOff>403225</xdr:colOff>
      <xdr:row>37</xdr:row>
      <xdr:rowOff>293688</xdr:rowOff>
    </xdr:to>
    <xdr:pic>
      <xdr:nvPicPr>
        <xdr:cNvPr id="1797" name="Picture 1796">
          <a:extLst>
            <a:ext uri="{FF2B5EF4-FFF2-40B4-BE49-F238E27FC236}">
              <a16:creationId xmlns:a16="http://schemas.microsoft.com/office/drawing/2014/main" id="{5861B121-2679-E1AF-9EF3-82FA73EF3E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62125" y="12631738"/>
          <a:ext cx="1397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37</xdr:row>
      <xdr:rowOff>39688</xdr:rowOff>
    </xdr:from>
    <xdr:to>
      <xdr:col>135</xdr:col>
      <xdr:colOff>460375</xdr:colOff>
      <xdr:row>37</xdr:row>
      <xdr:rowOff>293688</xdr:rowOff>
    </xdr:to>
    <xdr:pic>
      <xdr:nvPicPr>
        <xdr:cNvPr id="1800" name="Picture 1799">
          <a:extLst>
            <a:ext uri="{FF2B5EF4-FFF2-40B4-BE49-F238E27FC236}">
              <a16:creationId xmlns:a16="http://schemas.microsoft.com/office/drawing/2014/main" id="{B7050D27-562E-8628-7290-5759D3E5AC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12631738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38</xdr:row>
      <xdr:rowOff>39688</xdr:rowOff>
    </xdr:from>
    <xdr:to>
      <xdr:col>3</xdr:col>
      <xdr:colOff>460375</xdr:colOff>
      <xdr:row>38</xdr:row>
      <xdr:rowOff>293688</xdr:rowOff>
    </xdr:to>
    <xdr:pic>
      <xdr:nvPicPr>
        <xdr:cNvPr id="1803" name="Picture 1802">
          <a:extLst>
            <a:ext uri="{FF2B5EF4-FFF2-40B4-BE49-F238E27FC236}">
              <a16:creationId xmlns:a16="http://schemas.microsoft.com/office/drawing/2014/main" id="{E8D6DE1D-162B-518E-B2C6-428A33B3FA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12965113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38</xdr:row>
      <xdr:rowOff>39688</xdr:rowOff>
    </xdr:from>
    <xdr:to>
      <xdr:col>99</xdr:col>
      <xdr:colOff>460375</xdr:colOff>
      <xdr:row>38</xdr:row>
      <xdr:rowOff>293688</xdr:rowOff>
    </xdr:to>
    <xdr:pic>
      <xdr:nvPicPr>
        <xdr:cNvPr id="1806" name="Picture 1805">
          <a:extLst>
            <a:ext uri="{FF2B5EF4-FFF2-40B4-BE49-F238E27FC236}">
              <a16:creationId xmlns:a16="http://schemas.microsoft.com/office/drawing/2014/main" id="{44F5B3C4-589D-F513-3704-7C3C9FA33C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12965113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38</xdr:row>
      <xdr:rowOff>39688</xdr:rowOff>
    </xdr:from>
    <xdr:to>
      <xdr:col>39</xdr:col>
      <xdr:colOff>460375</xdr:colOff>
      <xdr:row>38</xdr:row>
      <xdr:rowOff>293688</xdr:rowOff>
    </xdr:to>
    <xdr:pic>
      <xdr:nvPicPr>
        <xdr:cNvPr id="1809" name="Picture 1808">
          <a:extLst>
            <a:ext uri="{FF2B5EF4-FFF2-40B4-BE49-F238E27FC236}">
              <a16:creationId xmlns:a16="http://schemas.microsoft.com/office/drawing/2014/main" id="{79B251C1-8175-2223-E784-DAB1D6AAE1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12965113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38</xdr:row>
      <xdr:rowOff>39688</xdr:rowOff>
    </xdr:from>
    <xdr:to>
      <xdr:col>231</xdr:col>
      <xdr:colOff>460375</xdr:colOff>
      <xdr:row>38</xdr:row>
      <xdr:rowOff>293688</xdr:rowOff>
    </xdr:to>
    <xdr:pic>
      <xdr:nvPicPr>
        <xdr:cNvPr id="1812" name="Picture 1811">
          <a:extLst>
            <a:ext uri="{FF2B5EF4-FFF2-40B4-BE49-F238E27FC236}">
              <a16:creationId xmlns:a16="http://schemas.microsoft.com/office/drawing/2014/main" id="{2DC13CD6-FD58-54B3-45E7-021C9FBEC9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12965113"/>
          <a:ext cx="254000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38</xdr:row>
      <xdr:rowOff>39688</xdr:rowOff>
    </xdr:from>
    <xdr:to>
      <xdr:col>63</xdr:col>
      <xdr:colOff>460375</xdr:colOff>
      <xdr:row>38</xdr:row>
      <xdr:rowOff>293688</xdr:rowOff>
    </xdr:to>
    <xdr:pic>
      <xdr:nvPicPr>
        <xdr:cNvPr id="1815" name="Picture 1814">
          <a:extLst>
            <a:ext uri="{FF2B5EF4-FFF2-40B4-BE49-F238E27FC236}">
              <a16:creationId xmlns:a16="http://schemas.microsoft.com/office/drawing/2014/main" id="{C85D635A-27A1-7F09-53FE-43995495DD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12965113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223132</xdr:colOff>
      <xdr:row>38</xdr:row>
      <xdr:rowOff>39688</xdr:rowOff>
    </xdr:from>
    <xdr:to>
      <xdr:col>27</xdr:col>
      <xdr:colOff>443618</xdr:colOff>
      <xdr:row>38</xdr:row>
      <xdr:rowOff>293688</xdr:rowOff>
    </xdr:to>
    <xdr:pic>
      <xdr:nvPicPr>
        <xdr:cNvPr id="1818" name="Picture 1817">
          <a:extLst>
            <a:ext uri="{FF2B5EF4-FFF2-40B4-BE49-F238E27FC236}">
              <a16:creationId xmlns:a16="http://schemas.microsoft.com/office/drawing/2014/main" id="{1CDE0B81-6BA7-026E-28BD-FB07BBF757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63432" y="12965113"/>
          <a:ext cx="220486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38</xdr:row>
      <xdr:rowOff>39688</xdr:rowOff>
    </xdr:from>
    <xdr:to>
      <xdr:col>75</xdr:col>
      <xdr:colOff>460375</xdr:colOff>
      <xdr:row>38</xdr:row>
      <xdr:rowOff>293688</xdr:rowOff>
    </xdr:to>
    <xdr:pic>
      <xdr:nvPicPr>
        <xdr:cNvPr id="1821" name="Picture 1820">
          <a:extLst>
            <a:ext uri="{FF2B5EF4-FFF2-40B4-BE49-F238E27FC236}">
              <a16:creationId xmlns:a16="http://schemas.microsoft.com/office/drawing/2014/main" id="{98B3D369-C6AB-C7B8-74DF-6CD2AE7982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12965113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38</xdr:row>
      <xdr:rowOff>39688</xdr:rowOff>
    </xdr:from>
    <xdr:to>
      <xdr:col>171</xdr:col>
      <xdr:colOff>460375</xdr:colOff>
      <xdr:row>38</xdr:row>
      <xdr:rowOff>293688</xdr:rowOff>
    </xdr:to>
    <xdr:pic>
      <xdr:nvPicPr>
        <xdr:cNvPr id="1824" name="Picture 1823">
          <a:extLst>
            <a:ext uri="{FF2B5EF4-FFF2-40B4-BE49-F238E27FC236}">
              <a16:creationId xmlns:a16="http://schemas.microsoft.com/office/drawing/2014/main" id="{D9EF52DB-B819-FBB6-F428-FB5FB90BB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12965113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230001</xdr:colOff>
      <xdr:row>38</xdr:row>
      <xdr:rowOff>39688</xdr:rowOff>
    </xdr:from>
    <xdr:to>
      <xdr:col>87</xdr:col>
      <xdr:colOff>436745</xdr:colOff>
      <xdr:row>38</xdr:row>
      <xdr:rowOff>293688</xdr:rowOff>
    </xdr:to>
    <xdr:pic>
      <xdr:nvPicPr>
        <xdr:cNvPr id="1827" name="Picture 1826">
          <a:extLst>
            <a:ext uri="{FF2B5EF4-FFF2-40B4-BE49-F238E27FC236}">
              <a16:creationId xmlns:a16="http://schemas.microsoft.com/office/drawing/2014/main" id="{E9F8FE30-750F-376C-9F1A-C58DF84C12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17701" y="12965113"/>
          <a:ext cx="206744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38</xdr:row>
      <xdr:rowOff>39688</xdr:rowOff>
    </xdr:from>
    <xdr:to>
      <xdr:col>123</xdr:col>
      <xdr:colOff>460375</xdr:colOff>
      <xdr:row>38</xdr:row>
      <xdr:rowOff>293688</xdr:rowOff>
    </xdr:to>
    <xdr:pic>
      <xdr:nvPicPr>
        <xdr:cNvPr id="1830" name="Picture 1829">
          <a:extLst>
            <a:ext uri="{FF2B5EF4-FFF2-40B4-BE49-F238E27FC236}">
              <a16:creationId xmlns:a16="http://schemas.microsoft.com/office/drawing/2014/main" id="{1A82417F-DDFF-4F85-2422-913B230117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12965113"/>
          <a:ext cx="2540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38</xdr:row>
      <xdr:rowOff>39688</xdr:rowOff>
    </xdr:from>
    <xdr:to>
      <xdr:col>135</xdr:col>
      <xdr:colOff>460375</xdr:colOff>
      <xdr:row>38</xdr:row>
      <xdr:rowOff>293688</xdr:rowOff>
    </xdr:to>
    <xdr:pic>
      <xdr:nvPicPr>
        <xdr:cNvPr id="1833" name="Picture 1832">
          <a:extLst>
            <a:ext uri="{FF2B5EF4-FFF2-40B4-BE49-F238E27FC236}">
              <a16:creationId xmlns:a16="http://schemas.microsoft.com/office/drawing/2014/main" id="{033763BD-9DEC-F223-305F-73DF236782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12965113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263525</xdr:colOff>
      <xdr:row>38</xdr:row>
      <xdr:rowOff>39688</xdr:rowOff>
    </xdr:from>
    <xdr:to>
      <xdr:col>195</xdr:col>
      <xdr:colOff>403225</xdr:colOff>
      <xdr:row>38</xdr:row>
      <xdr:rowOff>293688</xdr:rowOff>
    </xdr:to>
    <xdr:pic>
      <xdr:nvPicPr>
        <xdr:cNvPr id="1836" name="Picture 1835">
          <a:extLst>
            <a:ext uri="{FF2B5EF4-FFF2-40B4-BE49-F238E27FC236}">
              <a16:creationId xmlns:a16="http://schemas.microsoft.com/office/drawing/2014/main" id="{1BE30D53-2A6C-FF79-E303-DEF3FD73F7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59400" y="12965113"/>
          <a:ext cx="1397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38</xdr:row>
      <xdr:rowOff>39688</xdr:rowOff>
    </xdr:from>
    <xdr:to>
      <xdr:col>159</xdr:col>
      <xdr:colOff>460375</xdr:colOff>
      <xdr:row>38</xdr:row>
      <xdr:rowOff>293688</xdr:rowOff>
    </xdr:to>
    <xdr:pic>
      <xdr:nvPicPr>
        <xdr:cNvPr id="1839" name="Picture 1838">
          <a:extLst>
            <a:ext uri="{FF2B5EF4-FFF2-40B4-BE49-F238E27FC236}">
              <a16:creationId xmlns:a16="http://schemas.microsoft.com/office/drawing/2014/main" id="{11EAD201-0CF1-75E7-2B2D-4C8CB7674A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12965113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38</xdr:row>
      <xdr:rowOff>39688</xdr:rowOff>
    </xdr:from>
    <xdr:to>
      <xdr:col>15</xdr:col>
      <xdr:colOff>460375</xdr:colOff>
      <xdr:row>38</xdr:row>
      <xdr:rowOff>293688</xdr:rowOff>
    </xdr:to>
    <xdr:pic>
      <xdr:nvPicPr>
        <xdr:cNvPr id="1842" name="Picture 1841">
          <a:extLst>
            <a:ext uri="{FF2B5EF4-FFF2-40B4-BE49-F238E27FC236}">
              <a16:creationId xmlns:a16="http://schemas.microsoft.com/office/drawing/2014/main" id="{FDDD4B48-7567-3C73-7611-515E0C6266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12965113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38</xdr:row>
      <xdr:rowOff>39688</xdr:rowOff>
    </xdr:from>
    <xdr:to>
      <xdr:col>183</xdr:col>
      <xdr:colOff>460375</xdr:colOff>
      <xdr:row>38</xdr:row>
      <xdr:rowOff>293688</xdr:rowOff>
    </xdr:to>
    <xdr:pic>
      <xdr:nvPicPr>
        <xdr:cNvPr id="1845" name="Picture 1844">
          <a:extLst>
            <a:ext uri="{FF2B5EF4-FFF2-40B4-BE49-F238E27FC236}">
              <a16:creationId xmlns:a16="http://schemas.microsoft.com/office/drawing/2014/main" id="{5120FCCB-26C5-FB07-3057-E700CB82B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12965113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38</xdr:row>
      <xdr:rowOff>39688</xdr:rowOff>
    </xdr:from>
    <xdr:to>
      <xdr:col>111</xdr:col>
      <xdr:colOff>460375</xdr:colOff>
      <xdr:row>38</xdr:row>
      <xdr:rowOff>293688</xdr:rowOff>
    </xdr:to>
    <xdr:pic>
      <xdr:nvPicPr>
        <xdr:cNvPr id="1848" name="Picture 1847">
          <a:extLst>
            <a:ext uri="{FF2B5EF4-FFF2-40B4-BE49-F238E27FC236}">
              <a16:creationId xmlns:a16="http://schemas.microsoft.com/office/drawing/2014/main" id="{F7171CC5-8116-48A3-1F9C-8EF400FC2D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12965113"/>
          <a:ext cx="254000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38</xdr:row>
      <xdr:rowOff>39688</xdr:rowOff>
    </xdr:from>
    <xdr:to>
      <xdr:col>207</xdr:col>
      <xdr:colOff>460375</xdr:colOff>
      <xdr:row>38</xdr:row>
      <xdr:rowOff>293688</xdr:rowOff>
    </xdr:to>
    <xdr:pic>
      <xdr:nvPicPr>
        <xdr:cNvPr id="1851" name="Picture 1850">
          <a:extLst>
            <a:ext uri="{FF2B5EF4-FFF2-40B4-BE49-F238E27FC236}">
              <a16:creationId xmlns:a16="http://schemas.microsoft.com/office/drawing/2014/main" id="{21615865-B05A-BDF4-F77A-395EA9E601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12965113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181208</xdr:colOff>
      <xdr:row>38</xdr:row>
      <xdr:rowOff>39688</xdr:rowOff>
    </xdr:from>
    <xdr:to>
      <xdr:col>51</xdr:col>
      <xdr:colOff>485540</xdr:colOff>
      <xdr:row>38</xdr:row>
      <xdr:rowOff>293688</xdr:rowOff>
    </xdr:to>
    <xdr:pic>
      <xdr:nvPicPr>
        <xdr:cNvPr id="1854" name="Picture 1853">
          <a:extLst>
            <a:ext uri="{FF2B5EF4-FFF2-40B4-BE49-F238E27FC236}">
              <a16:creationId xmlns:a16="http://schemas.microsoft.com/office/drawing/2014/main" id="{552E7499-0BB2-B764-7F81-07BB71AD18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56658" y="12965113"/>
          <a:ext cx="304332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38</xdr:row>
      <xdr:rowOff>39688</xdr:rowOff>
    </xdr:from>
    <xdr:to>
      <xdr:col>219</xdr:col>
      <xdr:colOff>460375</xdr:colOff>
      <xdr:row>38</xdr:row>
      <xdr:rowOff>293688</xdr:rowOff>
    </xdr:to>
    <xdr:pic>
      <xdr:nvPicPr>
        <xdr:cNvPr id="1857" name="Picture 1856">
          <a:extLst>
            <a:ext uri="{FF2B5EF4-FFF2-40B4-BE49-F238E27FC236}">
              <a16:creationId xmlns:a16="http://schemas.microsoft.com/office/drawing/2014/main" id="{084577BB-4B64-A59A-2C54-53C0835CC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12965113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38</xdr:row>
      <xdr:rowOff>39688</xdr:rowOff>
    </xdr:from>
    <xdr:to>
      <xdr:col>147</xdr:col>
      <xdr:colOff>460375</xdr:colOff>
      <xdr:row>38</xdr:row>
      <xdr:rowOff>293688</xdr:rowOff>
    </xdr:to>
    <xdr:pic>
      <xdr:nvPicPr>
        <xdr:cNvPr id="1860" name="Picture 1859">
          <a:extLst>
            <a:ext uri="{FF2B5EF4-FFF2-40B4-BE49-F238E27FC236}">
              <a16:creationId xmlns:a16="http://schemas.microsoft.com/office/drawing/2014/main" id="{1FD6F9EE-34F2-F3D7-4B74-41943FD19E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12965113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39</xdr:row>
      <xdr:rowOff>39688</xdr:rowOff>
    </xdr:from>
    <xdr:to>
      <xdr:col>15</xdr:col>
      <xdr:colOff>460375</xdr:colOff>
      <xdr:row>39</xdr:row>
      <xdr:rowOff>293688</xdr:rowOff>
    </xdr:to>
    <xdr:pic>
      <xdr:nvPicPr>
        <xdr:cNvPr id="1863" name="Picture 1862">
          <a:extLst>
            <a:ext uri="{FF2B5EF4-FFF2-40B4-BE49-F238E27FC236}">
              <a16:creationId xmlns:a16="http://schemas.microsoft.com/office/drawing/2014/main" id="{245859FF-09C7-49EB-1139-0E8328BC6F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13298488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39</xdr:row>
      <xdr:rowOff>39688</xdr:rowOff>
    </xdr:from>
    <xdr:to>
      <xdr:col>219</xdr:col>
      <xdr:colOff>460375</xdr:colOff>
      <xdr:row>39</xdr:row>
      <xdr:rowOff>293688</xdr:rowOff>
    </xdr:to>
    <xdr:pic>
      <xdr:nvPicPr>
        <xdr:cNvPr id="1866" name="Picture 1865">
          <a:extLst>
            <a:ext uri="{FF2B5EF4-FFF2-40B4-BE49-F238E27FC236}">
              <a16:creationId xmlns:a16="http://schemas.microsoft.com/office/drawing/2014/main" id="{98CB0676-4162-5937-0307-FBC97E81AB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13298488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39</xdr:row>
      <xdr:rowOff>39688</xdr:rowOff>
    </xdr:from>
    <xdr:to>
      <xdr:col>27</xdr:col>
      <xdr:colOff>460375</xdr:colOff>
      <xdr:row>39</xdr:row>
      <xdr:rowOff>293688</xdr:rowOff>
    </xdr:to>
    <xdr:pic>
      <xdr:nvPicPr>
        <xdr:cNvPr id="1869" name="Picture 1868">
          <a:extLst>
            <a:ext uri="{FF2B5EF4-FFF2-40B4-BE49-F238E27FC236}">
              <a16:creationId xmlns:a16="http://schemas.microsoft.com/office/drawing/2014/main" id="{6737F3CD-84A0-1AE9-8BD6-C3C8CE3D4D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13298488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39</xdr:row>
      <xdr:rowOff>39688</xdr:rowOff>
    </xdr:from>
    <xdr:to>
      <xdr:col>159</xdr:col>
      <xdr:colOff>460375</xdr:colOff>
      <xdr:row>39</xdr:row>
      <xdr:rowOff>293688</xdr:rowOff>
    </xdr:to>
    <xdr:pic>
      <xdr:nvPicPr>
        <xdr:cNvPr id="1872" name="Picture 1871">
          <a:extLst>
            <a:ext uri="{FF2B5EF4-FFF2-40B4-BE49-F238E27FC236}">
              <a16:creationId xmlns:a16="http://schemas.microsoft.com/office/drawing/2014/main" id="{5F4FFF23-00AA-52E7-02B9-8A53153E80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13298488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263525</xdr:colOff>
      <xdr:row>39</xdr:row>
      <xdr:rowOff>39688</xdr:rowOff>
    </xdr:from>
    <xdr:to>
      <xdr:col>51</xdr:col>
      <xdr:colOff>403225</xdr:colOff>
      <xdr:row>39</xdr:row>
      <xdr:rowOff>293688</xdr:rowOff>
    </xdr:to>
    <xdr:pic>
      <xdr:nvPicPr>
        <xdr:cNvPr id="1875" name="Picture 1874">
          <a:extLst>
            <a:ext uri="{FF2B5EF4-FFF2-40B4-BE49-F238E27FC236}">
              <a16:creationId xmlns:a16="http://schemas.microsoft.com/office/drawing/2014/main" id="{D5F5CCC4-F45A-E39C-BDA0-3554B03A9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438975" y="13298488"/>
          <a:ext cx="1397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39</xdr:row>
      <xdr:rowOff>39688</xdr:rowOff>
    </xdr:from>
    <xdr:to>
      <xdr:col>135</xdr:col>
      <xdr:colOff>460375</xdr:colOff>
      <xdr:row>39</xdr:row>
      <xdr:rowOff>293688</xdr:rowOff>
    </xdr:to>
    <xdr:pic>
      <xdr:nvPicPr>
        <xdr:cNvPr id="1878" name="Picture 1877">
          <a:extLst>
            <a:ext uri="{FF2B5EF4-FFF2-40B4-BE49-F238E27FC236}">
              <a16:creationId xmlns:a16="http://schemas.microsoft.com/office/drawing/2014/main" id="{28A68079-CB82-CECA-2D57-6C31DD0781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13298488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39</xdr:row>
      <xdr:rowOff>39688</xdr:rowOff>
    </xdr:from>
    <xdr:to>
      <xdr:col>99</xdr:col>
      <xdr:colOff>460375</xdr:colOff>
      <xdr:row>39</xdr:row>
      <xdr:rowOff>293688</xdr:rowOff>
    </xdr:to>
    <xdr:pic>
      <xdr:nvPicPr>
        <xdr:cNvPr id="1881" name="Picture 1880">
          <a:extLst>
            <a:ext uri="{FF2B5EF4-FFF2-40B4-BE49-F238E27FC236}">
              <a16:creationId xmlns:a16="http://schemas.microsoft.com/office/drawing/2014/main" id="{E547C175-BC5D-3C3E-06A6-D1FAD477AC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13298488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39</xdr:row>
      <xdr:rowOff>39688</xdr:rowOff>
    </xdr:from>
    <xdr:to>
      <xdr:col>75</xdr:col>
      <xdr:colOff>460375</xdr:colOff>
      <xdr:row>39</xdr:row>
      <xdr:rowOff>293688</xdr:rowOff>
    </xdr:to>
    <xdr:pic>
      <xdr:nvPicPr>
        <xdr:cNvPr id="1884" name="Picture 1883">
          <a:extLst>
            <a:ext uri="{FF2B5EF4-FFF2-40B4-BE49-F238E27FC236}">
              <a16:creationId xmlns:a16="http://schemas.microsoft.com/office/drawing/2014/main" id="{92989735-9BE7-875D-E0A9-9A08A8D121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13298488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223131</xdr:colOff>
      <xdr:row>39</xdr:row>
      <xdr:rowOff>39688</xdr:rowOff>
    </xdr:from>
    <xdr:to>
      <xdr:col>111</xdr:col>
      <xdr:colOff>443617</xdr:colOff>
      <xdr:row>39</xdr:row>
      <xdr:rowOff>293688</xdr:rowOff>
    </xdr:to>
    <xdr:pic>
      <xdr:nvPicPr>
        <xdr:cNvPr id="1887" name="Picture 1886">
          <a:extLst>
            <a:ext uri="{FF2B5EF4-FFF2-40B4-BE49-F238E27FC236}">
              <a16:creationId xmlns:a16="http://schemas.microsoft.com/office/drawing/2014/main" id="{81A392E0-3235-CFC2-CAFA-81B7451FC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45981" y="13298488"/>
          <a:ext cx="220486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39</xdr:row>
      <xdr:rowOff>39688</xdr:rowOff>
    </xdr:from>
    <xdr:to>
      <xdr:col>63</xdr:col>
      <xdr:colOff>460375</xdr:colOff>
      <xdr:row>39</xdr:row>
      <xdr:rowOff>293688</xdr:rowOff>
    </xdr:to>
    <xdr:pic>
      <xdr:nvPicPr>
        <xdr:cNvPr id="1890" name="Picture 1889">
          <a:extLst>
            <a:ext uri="{FF2B5EF4-FFF2-40B4-BE49-F238E27FC236}">
              <a16:creationId xmlns:a16="http://schemas.microsoft.com/office/drawing/2014/main" id="{CF3DF9FD-86E2-4D34-83C3-216BEDA4D2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13298488"/>
          <a:ext cx="254000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39</xdr:row>
      <xdr:rowOff>39688</xdr:rowOff>
    </xdr:from>
    <xdr:to>
      <xdr:col>123</xdr:col>
      <xdr:colOff>460375</xdr:colOff>
      <xdr:row>39</xdr:row>
      <xdr:rowOff>293688</xdr:rowOff>
    </xdr:to>
    <xdr:pic>
      <xdr:nvPicPr>
        <xdr:cNvPr id="1893" name="Picture 1892">
          <a:extLst>
            <a:ext uri="{FF2B5EF4-FFF2-40B4-BE49-F238E27FC236}">
              <a16:creationId xmlns:a16="http://schemas.microsoft.com/office/drawing/2014/main" id="{EDF146EB-9634-A045-F042-8F4C581B8C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13298488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230003</xdr:colOff>
      <xdr:row>39</xdr:row>
      <xdr:rowOff>39688</xdr:rowOff>
    </xdr:from>
    <xdr:to>
      <xdr:col>39</xdr:col>
      <xdr:colOff>436747</xdr:colOff>
      <xdr:row>39</xdr:row>
      <xdr:rowOff>293688</xdr:rowOff>
    </xdr:to>
    <xdr:pic>
      <xdr:nvPicPr>
        <xdr:cNvPr id="1896" name="Picture 1895">
          <a:extLst>
            <a:ext uri="{FF2B5EF4-FFF2-40B4-BE49-F238E27FC236}">
              <a16:creationId xmlns:a16="http://schemas.microsoft.com/office/drawing/2014/main" id="{1118A0FC-71C6-4C68-DE95-E854E80723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28353" y="13298488"/>
          <a:ext cx="206744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39</xdr:row>
      <xdr:rowOff>39688</xdr:rowOff>
    </xdr:from>
    <xdr:to>
      <xdr:col>147</xdr:col>
      <xdr:colOff>460375</xdr:colOff>
      <xdr:row>39</xdr:row>
      <xdr:rowOff>293688</xdr:rowOff>
    </xdr:to>
    <xdr:pic>
      <xdr:nvPicPr>
        <xdr:cNvPr id="1899" name="Picture 1898">
          <a:extLst>
            <a:ext uri="{FF2B5EF4-FFF2-40B4-BE49-F238E27FC236}">
              <a16:creationId xmlns:a16="http://schemas.microsoft.com/office/drawing/2014/main" id="{466887B8-51F8-8E6D-2D31-FA1E89E1B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13298488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39</xdr:row>
      <xdr:rowOff>39688</xdr:rowOff>
    </xdr:from>
    <xdr:to>
      <xdr:col>87</xdr:col>
      <xdr:colOff>460375</xdr:colOff>
      <xdr:row>39</xdr:row>
      <xdr:rowOff>293688</xdr:rowOff>
    </xdr:to>
    <xdr:pic>
      <xdr:nvPicPr>
        <xdr:cNvPr id="1902" name="Picture 1901">
          <a:extLst>
            <a:ext uri="{FF2B5EF4-FFF2-40B4-BE49-F238E27FC236}">
              <a16:creationId xmlns:a16="http://schemas.microsoft.com/office/drawing/2014/main" id="{E6458F83-5237-CC8D-4713-353C73F58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13298488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181211</xdr:colOff>
      <xdr:row>39</xdr:row>
      <xdr:rowOff>39688</xdr:rowOff>
    </xdr:from>
    <xdr:to>
      <xdr:col>171</xdr:col>
      <xdr:colOff>485543</xdr:colOff>
      <xdr:row>39</xdr:row>
      <xdr:rowOff>293688</xdr:rowOff>
    </xdr:to>
    <xdr:pic>
      <xdr:nvPicPr>
        <xdr:cNvPr id="1905" name="Picture 1904">
          <a:extLst>
            <a:ext uri="{FF2B5EF4-FFF2-40B4-BE49-F238E27FC236}">
              <a16:creationId xmlns:a16="http://schemas.microsoft.com/office/drawing/2014/main" id="{868F4CC5-8DFF-21EB-571E-AB2B9318EA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41936" y="13298488"/>
          <a:ext cx="304332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39</xdr:row>
      <xdr:rowOff>39688</xdr:rowOff>
    </xdr:from>
    <xdr:to>
      <xdr:col>207</xdr:col>
      <xdr:colOff>460375</xdr:colOff>
      <xdr:row>39</xdr:row>
      <xdr:rowOff>293688</xdr:rowOff>
    </xdr:to>
    <xdr:pic>
      <xdr:nvPicPr>
        <xdr:cNvPr id="1908" name="Picture 1907">
          <a:extLst>
            <a:ext uri="{FF2B5EF4-FFF2-40B4-BE49-F238E27FC236}">
              <a16:creationId xmlns:a16="http://schemas.microsoft.com/office/drawing/2014/main" id="{0F4E23E6-258D-2E57-A5B2-A472EED3CB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13298488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39</xdr:row>
      <xdr:rowOff>39688</xdr:rowOff>
    </xdr:from>
    <xdr:to>
      <xdr:col>195</xdr:col>
      <xdr:colOff>460375</xdr:colOff>
      <xdr:row>39</xdr:row>
      <xdr:rowOff>293688</xdr:rowOff>
    </xdr:to>
    <xdr:pic>
      <xdr:nvPicPr>
        <xdr:cNvPr id="1911" name="Picture 1910">
          <a:extLst>
            <a:ext uri="{FF2B5EF4-FFF2-40B4-BE49-F238E27FC236}">
              <a16:creationId xmlns:a16="http://schemas.microsoft.com/office/drawing/2014/main" id="{4BC85794-72FF-98D1-4509-1060CB14C5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13298488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39</xdr:row>
      <xdr:rowOff>39688</xdr:rowOff>
    </xdr:from>
    <xdr:to>
      <xdr:col>183</xdr:col>
      <xdr:colOff>460375</xdr:colOff>
      <xdr:row>39</xdr:row>
      <xdr:rowOff>293688</xdr:rowOff>
    </xdr:to>
    <xdr:pic>
      <xdr:nvPicPr>
        <xdr:cNvPr id="1914" name="Picture 1913">
          <a:extLst>
            <a:ext uri="{FF2B5EF4-FFF2-40B4-BE49-F238E27FC236}">
              <a16:creationId xmlns:a16="http://schemas.microsoft.com/office/drawing/2014/main" id="{2073177F-B48B-B1EE-D57E-9848941575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13298488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39</xdr:row>
      <xdr:rowOff>39688</xdr:rowOff>
    </xdr:from>
    <xdr:to>
      <xdr:col>231</xdr:col>
      <xdr:colOff>460375</xdr:colOff>
      <xdr:row>39</xdr:row>
      <xdr:rowOff>293688</xdr:rowOff>
    </xdr:to>
    <xdr:pic>
      <xdr:nvPicPr>
        <xdr:cNvPr id="1917" name="Picture 1916">
          <a:extLst>
            <a:ext uri="{FF2B5EF4-FFF2-40B4-BE49-F238E27FC236}">
              <a16:creationId xmlns:a16="http://schemas.microsoft.com/office/drawing/2014/main" id="{97BD61C3-EFA9-D70B-8C80-967ED50E2A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13298488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39</xdr:row>
      <xdr:rowOff>39688</xdr:rowOff>
    </xdr:from>
    <xdr:to>
      <xdr:col>3</xdr:col>
      <xdr:colOff>460375</xdr:colOff>
      <xdr:row>39</xdr:row>
      <xdr:rowOff>293688</xdr:rowOff>
    </xdr:to>
    <xdr:pic>
      <xdr:nvPicPr>
        <xdr:cNvPr id="1920" name="Picture 1919">
          <a:extLst>
            <a:ext uri="{FF2B5EF4-FFF2-40B4-BE49-F238E27FC236}">
              <a16:creationId xmlns:a16="http://schemas.microsoft.com/office/drawing/2014/main" id="{0440F99F-D049-3501-A79E-6DD2081288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13298488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41</xdr:row>
      <xdr:rowOff>39688</xdr:rowOff>
    </xdr:from>
    <xdr:to>
      <xdr:col>3</xdr:col>
      <xdr:colOff>460375</xdr:colOff>
      <xdr:row>41</xdr:row>
      <xdr:rowOff>293688</xdr:rowOff>
    </xdr:to>
    <xdr:pic>
      <xdr:nvPicPr>
        <xdr:cNvPr id="1923" name="Picture 1922">
          <a:extLst>
            <a:ext uri="{FF2B5EF4-FFF2-40B4-BE49-F238E27FC236}">
              <a16:creationId xmlns:a16="http://schemas.microsoft.com/office/drawing/2014/main" id="{899A3516-FC7B-5CE6-B03C-868712A137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13965238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41</xdr:row>
      <xdr:rowOff>39688</xdr:rowOff>
    </xdr:from>
    <xdr:to>
      <xdr:col>27</xdr:col>
      <xdr:colOff>460375</xdr:colOff>
      <xdr:row>41</xdr:row>
      <xdr:rowOff>293688</xdr:rowOff>
    </xdr:to>
    <xdr:pic>
      <xdr:nvPicPr>
        <xdr:cNvPr id="1926" name="Picture 1925">
          <a:extLst>
            <a:ext uri="{FF2B5EF4-FFF2-40B4-BE49-F238E27FC236}">
              <a16:creationId xmlns:a16="http://schemas.microsoft.com/office/drawing/2014/main" id="{7CF5449F-FE26-4A01-EA08-88B85001C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13965238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41</xdr:row>
      <xdr:rowOff>39688</xdr:rowOff>
    </xdr:from>
    <xdr:to>
      <xdr:col>39</xdr:col>
      <xdr:colOff>460375</xdr:colOff>
      <xdr:row>41</xdr:row>
      <xdr:rowOff>293688</xdr:rowOff>
    </xdr:to>
    <xdr:pic>
      <xdr:nvPicPr>
        <xdr:cNvPr id="1929" name="Picture 1928">
          <a:extLst>
            <a:ext uri="{FF2B5EF4-FFF2-40B4-BE49-F238E27FC236}">
              <a16:creationId xmlns:a16="http://schemas.microsoft.com/office/drawing/2014/main" id="{040667EF-E339-719F-FE0C-6498694E30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13965238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41</xdr:row>
      <xdr:rowOff>39688</xdr:rowOff>
    </xdr:from>
    <xdr:to>
      <xdr:col>99</xdr:col>
      <xdr:colOff>460375</xdr:colOff>
      <xdr:row>41</xdr:row>
      <xdr:rowOff>293688</xdr:rowOff>
    </xdr:to>
    <xdr:pic>
      <xdr:nvPicPr>
        <xdr:cNvPr id="1932" name="Picture 1931">
          <a:extLst>
            <a:ext uri="{FF2B5EF4-FFF2-40B4-BE49-F238E27FC236}">
              <a16:creationId xmlns:a16="http://schemas.microsoft.com/office/drawing/2014/main" id="{49405701-5E0F-2150-28A5-B6DFA09AA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13965238"/>
          <a:ext cx="254000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41</xdr:row>
      <xdr:rowOff>39688</xdr:rowOff>
    </xdr:from>
    <xdr:to>
      <xdr:col>63</xdr:col>
      <xdr:colOff>460375</xdr:colOff>
      <xdr:row>41</xdr:row>
      <xdr:rowOff>293688</xdr:rowOff>
    </xdr:to>
    <xdr:pic>
      <xdr:nvPicPr>
        <xdr:cNvPr id="1935" name="Picture 1934">
          <a:extLst>
            <a:ext uri="{FF2B5EF4-FFF2-40B4-BE49-F238E27FC236}">
              <a16:creationId xmlns:a16="http://schemas.microsoft.com/office/drawing/2014/main" id="{6CAC5C63-E0F3-9338-5B2C-C5843E2795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13965238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223131</xdr:colOff>
      <xdr:row>41</xdr:row>
      <xdr:rowOff>39688</xdr:rowOff>
    </xdr:from>
    <xdr:to>
      <xdr:col>51</xdr:col>
      <xdr:colOff>443617</xdr:colOff>
      <xdr:row>41</xdr:row>
      <xdr:rowOff>293688</xdr:rowOff>
    </xdr:to>
    <xdr:pic>
      <xdr:nvPicPr>
        <xdr:cNvPr id="1938" name="Picture 1937">
          <a:extLst>
            <a:ext uri="{FF2B5EF4-FFF2-40B4-BE49-F238E27FC236}">
              <a16:creationId xmlns:a16="http://schemas.microsoft.com/office/drawing/2014/main" id="{3C2B6C20-5A73-E8AC-8192-D3010FAFEA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98581" y="13965238"/>
          <a:ext cx="220486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41</xdr:row>
      <xdr:rowOff>39688</xdr:rowOff>
    </xdr:from>
    <xdr:to>
      <xdr:col>75</xdr:col>
      <xdr:colOff>460375</xdr:colOff>
      <xdr:row>41</xdr:row>
      <xdr:rowOff>293688</xdr:rowOff>
    </xdr:to>
    <xdr:pic>
      <xdr:nvPicPr>
        <xdr:cNvPr id="1941" name="Picture 1940">
          <a:extLst>
            <a:ext uri="{FF2B5EF4-FFF2-40B4-BE49-F238E27FC236}">
              <a16:creationId xmlns:a16="http://schemas.microsoft.com/office/drawing/2014/main" id="{1C37901A-BA37-35ED-FBBB-B04E1C13EC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13965238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41</xdr:row>
      <xdr:rowOff>39688</xdr:rowOff>
    </xdr:from>
    <xdr:to>
      <xdr:col>147</xdr:col>
      <xdr:colOff>460375</xdr:colOff>
      <xdr:row>41</xdr:row>
      <xdr:rowOff>293688</xdr:rowOff>
    </xdr:to>
    <xdr:pic>
      <xdr:nvPicPr>
        <xdr:cNvPr id="1944" name="Picture 1943">
          <a:extLst>
            <a:ext uri="{FF2B5EF4-FFF2-40B4-BE49-F238E27FC236}">
              <a16:creationId xmlns:a16="http://schemas.microsoft.com/office/drawing/2014/main" id="{4BBACDBF-917F-B952-3A42-4103CDD860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13965238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41</xdr:row>
      <xdr:rowOff>39688</xdr:rowOff>
    </xdr:from>
    <xdr:to>
      <xdr:col>87</xdr:col>
      <xdr:colOff>460375</xdr:colOff>
      <xdr:row>41</xdr:row>
      <xdr:rowOff>293688</xdr:rowOff>
    </xdr:to>
    <xdr:pic>
      <xdr:nvPicPr>
        <xdr:cNvPr id="1947" name="Picture 1946">
          <a:extLst>
            <a:ext uri="{FF2B5EF4-FFF2-40B4-BE49-F238E27FC236}">
              <a16:creationId xmlns:a16="http://schemas.microsoft.com/office/drawing/2014/main" id="{DDC53AB6-3887-EAA0-C201-D47F727182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13965238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41</xdr:row>
      <xdr:rowOff>39688</xdr:rowOff>
    </xdr:from>
    <xdr:to>
      <xdr:col>171</xdr:col>
      <xdr:colOff>460375</xdr:colOff>
      <xdr:row>41</xdr:row>
      <xdr:rowOff>293688</xdr:rowOff>
    </xdr:to>
    <xdr:pic>
      <xdr:nvPicPr>
        <xdr:cNvPr id="1950" name="Picture 1949">
          <a:extLst>
            <a:ext uri="{FF2B5EF4-FFF2-40B4-BE49-F238E27FC236}">
              <a16:creationId xmlns:a16="http://schemas.microsoft.com/office/drawing/2014/main" id="{7F6B09F3-716A-F483-D0DF-F7287F47C7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13965238"/>
          <a:ext cx="2540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41</xdr:row>
      <xdr:rowOff>39688</xdr:rowOff>
    </xdr:from>
    <xdr:to>
      <xdr:col>135</xdr:col>
      <xdr:colOff>460375</xdr:colOff>
      <xdr:row>41</xdr:row>
      <xdr:rowOff>293688</xdr:rowOff>
    </xdr:to>
    <xdr:pic>
      <xdr:nvPicPr>
        <xdr:cNvPr id="1953" name="Picture 1952">
          <a:extLst>
            <a:ext uri="{FF2B5EF4-FFF2-40B4-BE49-F238E27FC236}">
              <a16:creationId xmlns:a16="http://schemas.microsoft.com/office/drawing/2014/main" id="{2AE2766D-7ED5-2CF0-1B3B-803B04DB31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13965238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263525</xdr:colOff>
      <xdr:row>41</xdr:row>
      <xdr:rowOff>39688</xdr:rowOff>
    </xdr:from>
    <xdr:to>
      <xdr:col>111</xdr:col>
      <xdr:colOff>403225</xdr:colOff>
      <xdr:row>41</xdr:row>
      <xdr:rowOff>293688</xdr:rowOff>
    </xdr:to>
    <xdr:pic>
      <xdr:nvPicPr>
        <xdr:cNvPr id="1956" name="Picture 1955">
          <a:extLst>
            <a:ext uri="{FF2B5EF4-FFF2-40B4-BE49-F238E27FC236}">
              <a16:creationId xmlns:a16="http://schemas.microsoft.com/office/drawing/2014/main" id="{24DE39D6-23A8-6748-CE2D-89AA883C5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86375" y="13965238"/>
          <a:ext cx="139700" cy="254000"/>
        </a:xfrm>
        <a:prstGeom prst="rect">
          <a:avLst/>
        </a:prstGeom>
      </xdr:spPr>
    </xdr:pic>
    <xdr:clientData/>
  </xdr:twoCellAnchor>
  <xdr:twoCellAnchor>
    <xdr:from>
      <xdr:col>159</xdr:col>
      <xdr:colOff>230001</xdr:colOff>
      <xdr:row>41</xdr:row>
      <xdr:rowOff>39688</xdr:rowOff>
    </xdr:from>
    <xdr:to>
      <xdr:col>159</xdr:col>
      <xdr:colOff>436745</xdr:colOff>
      <xdr:row>41</xdr:row>
      <xdr:rowOff>293688</xdr:rowOff>
    </xdr:to>
    <xdr:pic>
      <xdr:nvPicPr>
        <xdr:cNvPr id="1959" name="Picture 1958">
          <a:extLst>
            <a:ext uri="{FF2B5EF4-FFF2-40B4-BE49-F238E27FC236}">
              <a16:creationId xmlns:a16="http://schemas.microsoft.com/office/drawing/2014/main" id="{241F6D8D-738C-CC86-7642-A86EBC41F6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823151" y="13965238"/>
          <a:ext cx="206744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41</xdr:row>
      <xdr:rowOff>39688</xdr:rowOff>
    </xdr:from>
    <xdr:to>
      <xdr:col>123</xdr:col>
      <xdr:colOff>460375</xdr:colOff>
      <xdr:row>41</xdr:row>
      <xdr:rowOff>293688</xdr:rowOff>
    </xdr:to>
    <xdr:pic>
      <xdr:nvPicPr>
        <xdr:cNvPr id="1962" name="Picture 1961">
          <a:extLst>
            <a:ext uri="{FF2B5EF4-FFF2-40B4-BE49-F238E27FC236}">
              <a16:creationId xmlns:a16="http://schemas.microsoft.com/office/drawing/2014/main" id="{4903348F-54FC-85C6-049E-18425693CD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13965238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41</xdr:row>
      <xdr:rowOff>39688</xdr:rowOff>
    </xdr:from>
    <xdr:to>
      <xdr:col>183</xdr:col>
      <xdr:colOff>460375</xdr:colOff>
      <xdr:row>41</xdr:row>
      <xdr:rowOff>293688</xdr:rowOff>
    </xdr:to>
    <xdr:pic>
      <xdr:nvPicPr>
        <xdr:cNvPr id="1965" name="Picture 1964">
          <a:extLst>
            <a:ext uri="{FF2B5EF4-FFF2-40B4-BE49-F238E27FC236}">
              <a16:creationId xmlns:a16="http://schemas.microsoft.com/office/drawing/2014/main" id="{73D7597B-858E-E71C-D041-267049BF5C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1396523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41</xdr:row>
      <xdr:rowOff>39688</xdr:rowOff>
    </xdr:from>
    <xdr:to>
      <xdr:col>15</xdr:col>
      <xdr:colOff>460375</xdr:colOff>
      <xdr:row>41</xdr:row>
      <xdr:rowOff>293688</xdr:rowOff>
    </xdr:to>
    <xdr:pic>
      <xdr:nvPicPr>
        <xdr:cNvPr id="1968" name="Picture 1967">
          <a:extLst>
            <a:ext uri="{FF2B5EF4-FFF2-40B4-BE49-F238E27FC236}">
              <a16:creationId xmlns:a16="http://schemas.microsoft.com/office/drawing/2014/main" id="{936AEDD7-3862-BBA7-1ED4-B07E60CC43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13965238"/>
          <a:ext cx="254000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41</xdr:row>
      <xdr:rowOff>39688</xdr:rowOff>
    </xdr:from>
    <xdr:to>
      <xdr:col>207</xdr:col>
      <xdr:colOff>460375</xdr:colOff>
      <xdr:row>41</xdr:row>
      <xdr:rowOff>293688</xdr:rowOff>
    </xdr:to>
    <xdr:pic>
      <xdr:nvPicPr>
        <xdr:cNvPr id="1971" name="Picture 1970">
          <a:extLst>
            <a:ext uri="{FF2B5EF4-FFF2-40B4-BE49-F238E27FC236}">
              <a16:creationId xmlns:a16="http://schemas.microsoft.com/office/drawing/2014/main" id="{5204FF73-9A22-035C-4520-BF66B6F5CB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13965238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181211</xdr:colOff>
      <xdr:row>41</xdr:row>
      <xdr:rowOff>39688</xdr:rowOff>
    </xdr:from>
    <xdr:to>
      <xdr:col>195</xdr:col>
      <xdr:colOff>485543</xdr:colOff>
      <xdr:row>41</xdr:row>
      <xdr:rowOff>293688</xdr:rowOff>
    </xdr:to>
    <xdr:pic>
      <xdr:nvPicPr>
        <xdr:cNvPr id="1974" name="Picture 1973">
          <a:extLst>
            <a:ext uri="{FF2B5EF4-FFF2-40B4-BE49-F238E27FC236}">
              <a16:creationId xmlns:a16="http://schemas.microsoft.com/office/drawing/2014/main" id="{E77C0115-08F9-AB72-465C-D1AF33A743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577086" y="13965238"/>
          <a:ext cx="304332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41</xdr:row>
      <xdr:rowOff>39688</xdr:rowOff>
    </xdr:from>
    <xdr:to>
      <xdr:col>219</xdr:col>
      <xdr:colOff>460375</xdr:colOff>
      <xdr:row>41</xdr:row>
      <xdr:rowOff>293688</xdr:rowOff>
    </xdr:to>
    <xdr:pic>
      <xdr:nvPicPr>
        <xdr:cNvPr id="1977" name="Picture 1976">
          <a:extLst>
            <a:ext uri="{FF2B5EF4-FFF2-40B4-BE49-F238E27FC236}">
              <a16:creationId xmlns:a16="http://schemas.microsoft.com/office/drawing/2014/main" id="{6A2DCC1A-7922-50A8-8636-8B881563EA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13965238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41</xdr:row>
      <xdr:rowOff>39688</xdr:rowOff>
    </xdr:from>
    <xdr:to>
      <xdr:col>231</xdr:col>
      <xdr:colOff>460375</xdr:colOff>
      <xdr:row>41</xdr:row>
      <xdr:rowOff>293688</xdr:rowOff>
    </xdr:to>
    <xdr:pic>
      <xdr:nvPicPr>
        <xdr:cNvPr id="1980" name="Picture 1979">
          <a:extLst>
            <a:ext uri="{FF2B5EF4-FFF2-40B4-BE49-F238E27FC236}">
              <a16:creationId xmlns:a16="http://schemas.microsoft.com/office/drawing/2014/main" id="{D23E9361-62AC-1B43-49A5-CC18BFFBF6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1396523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181209</xdr:colOff>
      <xdr:row>42</xdr:row>
      <xdr:rowOff>39688</xdr:rowOff>
    </xdr:from>
    <xdr:to>
      <xdr:col>15</xdr:col>
      <xdr:colOff>485541</xdr:colOff>
      <xdr:row>42</xdr:row>
      <xdr:rowOff>293688</xdr:rowOff>
    </xdr:to>
    <xdr:pic>
      <xdr:nvPicPr>
        <xdr:cNvPr id="1983" name="Picture 1982">
          <a:extLst>
            <a:ext uri="{FF2B5EF4-FFF2-40B4-BE49-F238E27FC236}">
              <a16:creationId xmlns:a16="http://schemas.microsoft.com/office/drawing/2014/main" id="{629AEEF1-66D8-4F24-FF15-5779AF9FA5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44409" y="14298613"/>
          <a:ext cx="304332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42</xdr:row>
      <xdr:rowOff>39688</xdr:rowOff>
    </xdr:from>
    <xdr:to>
      <xdr:col>207</xdr:col>
      <xdr:colOff>460375</xdr:colOff>
      <xdr:row>42</xdr:row>
      <xdr:rowOff>293688</xdr:rowOff>
    </xdr:to>
    <xdr:pic>
      <xdr:nvPicPr>
        <xdr:cNvPr id="1986" name="Picture 1985">
          <a:extLst>
            <a:ext uri="{FF2B5EF4-FFF2-40B4-BE49-F238E27FC236}">
              <a16:creationId xmlns:a16="http://schemas.microsoft.com/office/drawing/2014/main" id="{BF3D6DE1-B536-9764-73B0-FCCCD5B08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14298613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42</xdr:row>
      <xdr:rowOff>39688</xdr:rowOff>
    </xdr:from>
    <xdr:to>
      <xdr:col>39</xdr:col>
      <xdr:colOff>460375</xdr:colOff>
      <xdr:row>42</xdr:row>
      <xdr:rowOff>293688</xdr:rowOff>
    </xdr:to>
    <xdr:pic>
      <xdr:nvPicPr>
        <xdr:cNvPr id="1989" name="Picture 1988">
          <a:extLst>
            <a:ext uri="{FF2B5EF4-FFF2-40B4-BE49-F238E27FC236}">
              <a16:creationId xmlns:a16="http://schemas.microsoft.com/office/drawing/2014/main" id="{94522592-356B-C3E1-ACE2-D51CDA0206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14298613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42</xdr:row>
      <xdr:rowOff>39688</xdr:rowOff>
    </xdr:from>
    <xdr:to>
      <xdr:col>111</xdr:col>
      <xdr:colOff>460375</xdr:colOff>
      <xdr:row>42</xdr:row>
      <xdr:rowOff>293688</xdr:rowOff>
    </xdr:to>
    <xdr:pic>
      <xdr:nvPicPr>
        <xdr:cNvPr id="1992" name="Picture 1991">
          <a:extLst>
            <a:ext uri="{FF2B5EF4-FFF2-40B4-BE49-F238E27FC236}">
              <a16:creationId xmlns:a16="http://schemas.microsoft.com/office/drawing/2014/main" id="{C0D62E59-3F4B-3096-38C2-BFE5917ADA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14298613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42</xdr:row>
      <xdr:rowOff>39688</xdr:rowOff>
    </xdr:from>
    <xdr:to>
      <xdr:col>75</xdr:col>
      <xdr:colOff>460375</xdr:colOff>
      <xdr:row>42</xdr:row>
      <xdr:rowOff>293688</xdr:rowOff>
    </xdr:to>
    <xdr:pic>
      <xdr:nvPicPr>
        <xdr:cNvPr id="1995" name="Picture 1994">
          <a:extLst>
            <a:ext uri="{FF2B5EF4-FFF2-40B4-BE49-F238E27FC236}">
              <a16:creationId xmlns:a16="http://schemas.microsoft.com/office/drawing/2014/main" id="{FC733C60-A1A7-55BD-00AA-4FE19C6DB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14298613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42</xdr:row>
      <xdr:rowOff>39688</xdr:rowOff>
    </xdr:from>
    <xdr:to>
      <xdr:col>159</xdr:col>
      <xdr:colOff>460375</xdr:colOff>
      <xdr:row>42</xdr:row>
      <xdr:rowOff>293688</xdr:rowOff>
    </xdr:to>
    <xdr:pic>
      <xdr:nvPicPr>
        <xdr:cNvPr id="1998" name="Picture 1997">
          <a:extLst>
            <a:ext uri="{FF2B5EF4-FFF2-40B4-BE49-F238E27FC236}">
              <a16:creationId xmlns:a16="http://schemas.microsoft.com/office/drawing/2014/main" id="{34A06ED5-4DF3-8E9C-C3E8-7A8A0877E7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14298613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42</xdr:row>
      <xdr:rowOff>39688</xdr:rowOff>
    </xdr:from>
    <xdr:to>
      <xdr:col>87</xdr:col>
      <xdr:colOff>460375</xdr:colOff>
      <xdr:row>42</xdr:row>
      <xdr:rowOff>293688</xdr:rowOff>
    </xdr:to>
    <xdr:pic>
      <xdr:nvPicPr>
        <xdr:cNvPr id="2001" name="Picture 2000">
          <a:extLst>
            <a:ext uri="{FF2B5EF4-FFF2-40B4-BE49-F238E27FC236}">
              <a16:creationId xmlns:a16="http://schemas.microsoft.com/office/drawing/2014/main" id="{17C47AF3-C337-AEAD-871F-22D346B3F2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14298613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42</xdr:row>
      <xdr:rowOff>39688</xdr:rowOff>
    </xdr:from>
    <xdr:to>
      <xdr:col>219</xdr:col>
      <xdr:colOff>460375</xdr:colOff>
      <xdr:row>42</xdr:row>
      <xdr:rowOff>293688</xdr:rowOff>
    </xdr:to>
    <xdr:pic>
      <xdr:nvPicPr>
        <xdr:cNvPr id="2004" name="Picture 2003">
          <a:extLst>
            <a:ext uri="{FF2B5EF4-FFF2-40B4-BE49-F238E27FC236}">
              <a16:creationId xmlns:a16="http://schemas.microsoft.com/office/drawing/2014/main" id="{28E642C2-55E1-FF0D-AA6A-D538A609A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14298613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263525</xdr:colOff>
      <xdr:row>42</xdr:row>
      <xdr:rowOff>39688</xdr:rowOff>
    </xdr:from>
    <xdr:to>
      <xdr:col>99</xdr:col>
      <xdr:colOff>403225</xdr:colOff>
      <xdr:row>42</xdr:row>
      <xdr:rowOff>293688</xdr:rowOff>
    </xdr:to>
    <xdr:pic>
      <xdr:nvPicPr>
        <xdr:cNvPr id="2007" name="Picture 2006">
          <a:extLst>
            <a:ext uri="{FF2B5EF4-FFF2-40B4-BE49-F238E27FC236}">
              <a16:creationId xmlns:a16="http://schemas.microsoft.com/office/drawing/2014/main" id="{B50498DA-B37B-62BF-9A2E-CF362AF308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18800" y="14298613"/>
          <a:ext cx="1397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42</xdr:row>
      <xdr:rowOff>39688</xdr:rowOff>
    </xdr:from>
    <xdr:to>
      <xdr:col>135</xdr:col>
      <xdr:colOff>460375</xdr:colOff>
      <xdr:row>42</xdr:row>
      <xdr:rowOff>293688</xdr:rowOff>
    </xdr:to>
    <xdr:pic>
      <xdr:nvPicPr>
        <xdr:cNvPr id="2010" name="Picture 2009">
          <a:extLst>
            <a:ext uri="{FF2B5EF4-FFF2-40B4-BE49-F238E27FC236}">
              <a16:creationId xmlns:a16="http://schemas.microsoft.com/office/drawing/2014/main" id="{B874F547-FF0F-5B99-DE74-8DAF62463A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14298613"/>
          <a:ext cx="254000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42</xdr:row>
      <xdr:rowOff>39688</xdr:rowOff>
    </xdr:from>
    <xdr:to>
      <xdr:col>123</xdr:col>
      <xdr:colOff>460375</xdr:colOff>
      <xdr:row>42</xdr:row>
      <xdr:rowOff>293688</xdr:rowOff>
    </xdr:to>
    <xdr:pic>
      <xdr:nvPicPr>
        <xdr:cNvPr id="2013" name="Picture 2012">
          <a:extLst>
            <a:ext uri="{FF2B5EF4-FFF2-40B4-BE49-F238E27FC236}">
              <a16:creationId xmlns:a16="http://schemas.microsoft.com/office/drawing/2014/main" id="{061B6E2F-D602-D108-EA74-0356D1E4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14298613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230001</xdr:colOff>
      <xdr:row>42</xdr:row>
      <xdr:rowOff>39688</xdr:rowOff>
    </xdr:from>
    <xdr:to>
      <xdr:col>231</xdr:col>
      <xdr:colOff>436745</xdr:colOff>
      <xdr:row>42</xdr:row>
      <xdr:rowOff>293688</xdr:rowOff>
    </xdr:to>
    <xdr:pic>
      <xdr:nvPicPr>
        <xdr:cNvPr id="2016" name="Picture 2015">
          <a:extLst>
            <a:ext uri="{FF2B5EF4-FFF2-40B4-BE49-F238E27FC236}">
              <a16:creationId xmlns:a16="http://schemas.microsoft.com/office/drawing/2014/main" id="{13377BBB-3924-BE9E-20E6-576D254231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28601" y="14298613"/>
          <a:ext cx="206744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42</xdr:row>
      <xdr:rowOff>39688</xdr:rowOff>
    </xdr:from>
    <xdr:to>
      <xdr:col>147</xdr:col>
      <xdr:colOff>460375</xdr:colOff>
      <xdr:row>42</xdr:row>
      <xdr:rowOff>293688</xdr:rowOff>
    </xdr:to>
    <xdr:pic>
      <xdr:nvPicPr>
        <xdr:cNvPr id="2019" name="Picture 2018">
          <a:extLst>
            <a:ext uri="{FF2B5EF4-FFF2-40B4-BE49-F238E27FC236}">
              <a16:creationId xmlns:a16="http://schemas.microsoft.com/office/drawing/2014/main" id="{19F11BDF-23B0-D5A8-7E2B-EEE704FD50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1429861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42</xdr:row>
      <xdr:rowOff>39688</xdr:rowOff>
    </xdr:from>
    <xdr:to>
      <xdr:col>3</xdr:col>
      <xdr:colOff>460375</xdr:colOff>
      <xdr:row>42</xdr:row>
      <xdr:rowOff>293688</xdr:rowOff>
    </xdr:to>
    <xdr:pic>
      <xdr:nvPicPr>
        <xdr:cNvPr id="2022" name="Picture 2021">
          <a:extLst>
            <a:ext uri="{FF2B5EF4-FFF2-40B4-BE49-F238E27FC236}">
              <a16:creationId xmlns:a16="http://schemas.microsoft.com/office/drawing/2014/main" id="{2A232587-C51F-3695-8C39-6C6452FE95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14298613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42</xdr:row>
      <xdr:rowOff>39688</xdr:rowOff>
    </xdr:from>
    <xdr:to>
      <xdr:col>171</xdr:col>
      <xdr:colOff>460375</xdr:colOff>
      <xdr:row>42</xdr:row>
      <xdr:rowOff>293688</xdr:rowOff>
    </xdr:to>
    <xdr:pic>
      <xdr:nvPicPr>
        <xdr:cNvPr id="2025" name="Picture 2024">
          <a:extLst>
            <a:ext uri="{FF2B5EF4-FFF2-40B4-BE49-F238E27FC236}">
              <a16:creationId xmlns:a16="http://schemas.microsoft.com/office/drawing/2014/main" id="{1A89F0FE-76B0-DA01-C0A3-246DC2939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14298613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42</xdr:row>
      <xdr:rowOff>39688</xdr:rowOff>
    </xdr:from>
    <xdr:to>
      <xdr:col>27</xdr:col>
      <xdr:colOff>460375</xdr:colOff>
      <xdr:row>42</xdr:row>
      <xdr:rowOff>293688</xdr:rowOff>
    </xdr:to>
    <xdr:pic>
      <xdr:nvPicPr>
        <xdr:cNvPr id="2028" name="Picture 2027">
          <a:extLst>
            <a:ext uri="{FF2B5EF4-FFF2-40B4-BE49-F238E27FC236}">
              <a16:creationId xmlns:a16="http://schemas.microsoft.com/office/drawing/2014/main" id="{48474794-88A1-A331-831A-90DCDB8A0A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14298613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223131</xdr:colOff>
      <xdr:row>42</xdr:row>
      <xdr:rowOff>39688</xdr:rowOff>
    </xdr:from>
    <xdr:to>
      <xdr:col>183</xdr:col>
      <xdr:colOff>443617</xdr:colOff>
      <xdr:row>42</xdr:row>
      <xdr:rowOff>293688</xdr:rowOff>
    </xdr:to>
    <xdr:pic>
      <xdr:nvPicPr>
        <xdr:cNvPr id="2031" name="Picture 2030">
          <a:extLst>
            <a:ext uri="{FF2B5EF4-FFF2-40B4-BE49-F238E27FC236}">
              <a16:creationId xmlns:a16="http://schemas.microsoft.com/office/drawing/2014/main" id="{B896ADF9-BF66-4C89-E483-84DD6E3B8B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51431" y="14298613"/>
          <a:ext cx="220486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42</xdr:row>
      <xdr:rowOff>39688</xdr:rowOff>
    </xdr:from>
    <xdr:to>
      <xdr:col>63</xdr:col>
      <xdr:colOff>460375</xdr:colOff>
      <xdr:row>42</xdr:row>
      <xdr:rowOff>293688</xdr:rowOff>
    </xdr:to>
    <xdr:pic>
      <xdr:nvPicPr>
        <xdr:cNvPr id="2034" name="Picture 2033">
          <a:extLst>
            <a:ext uri="{FF2B5EF4-FFF2-40B4-BE49-F238E27FC236}">
              <a16:creationId xmlns:a16="http://schemas.microsoft.com/office/drawing/2014/main" id="{DCE6E842-507A-E6FC-3C57-3EAA017333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14298613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42</xdr:row>
      <xdr:rowOff>39688</xdr:rowOff>
    </xdr:from>
    <xdr:to>
      <xdr:col>195</xdr:col>
      <xdr:colOff>460375</xdr:colOff>
      <xdr:row>42</xdr:row>
      <xdr:rowOff>293688</xdr:rowOff>
    </xdr:to>
    <xdr:pic>
      <xdr:nvPicPr>
        <xdr:cNvPr id="2037" name="Picture 2036">
          <a:extLst>
            <a:ext uri="{FF2B5EF4-FFF2-40B4-BE49-F238E27FC236}">
              <a16:creationId xmlns:a16="http://schemas.microsoft.com/office/drawing/2014/main" id="{26E14192-A11F-55EC-2D9A-D0D29E818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14298613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42</xdr:row>
      <xdr:rowOff>39688</xdr:rowOff>
    </xdr:from>
    <xdr:to>
      <xdr:col>51</xdr:col>
      <xdr:colOff>460375</xdr:colOff>
      <xdr:row>42</xdr:row>
      <xdr:rowOff>293688</xdr:rowOff>
    </xdr:to>
    <xdr:pic>
      <xdr:nvPicPr>
        <xdr:cNvPr id="2040" name="Picture 2039">
          <a:extLst>
            <a:ext uri="{FF2B5EF4-FFF2-40B4-BE49-F238E27FC236}">
              <a16:creationId xmlns:a16="http://schemas.microsoft.com/office/drawing/2014/main" id="{1616D4CF-1D16-EFA6-FACC-65C7E35017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1429861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43</xdr:row>
      <xdr:rowOff>39688</xdr:rowOff>
    </xdr:from>
    <xdr:to>
      <xdr:col>3</xdr:col>
      <xdr:colOff>460375</xdr:colOff>
      <xdr:row>43</xdr:row>
      <xdr:rowOff>293688</xdr:rowOff>
    </xdr:to>
    <xdr:pic>
      <xdr:nvPicPr>
        <xdr:cNvPr id="2043" name="Picture 2042">
          <a:extLst>
            <a:ext uri="{FF2B5EF4-FFF2-40B4-BE49-F238E27FC236}">
              <a16:creationId xmlns:a16="http://schemas.microsoft.com/office/drawing/2014/main" id="{D278A75C-CEA9-EBCE-79D8-C220BFBEB5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14631988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43</xdr:row>
      <xdr:rowOff>39688</xdr:rowOff>
    </xdr:from>
    <xdr:to>
      <xdr:col>171</xdr:col>
      <xdr:colOff>460375</xdr:colOff>
      <xdr:row>43</xdr:row>
      <xdr:rowOff>293688</xdr:rowOff>
    </xdr:to>
    <xdr:pic>
      <xdr:nvPicPr>
        <xdr:cNvPr id="2046" name="Picture 2045">
          <a:extLst>
            <a:ext uri="{FF2B5EF4-FFF2-40B4-BE49-F238E27FC236}">
              <a16:creationId xmlns:a16="http://schemas.microsoft.com/office/drawing/2014/main" id="{344E43FC-DDB6-ACC1-4651-CA0EC739F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14631988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230003</xdr:colOff>
      <xdr:row>43</xdr:row>
      <xdr:rowOff>39688</xdr:rowOff>
    </xdr:from>
    <xdr:to>
      <xdr:col>27</xdr:col>
      <xdr:colOff>436747</xdr:colOff>
      <xdr:row>43</xdr:row>
      <xdr:rowOff>293688</xdr:rowOff>
    </xdr:to>
    <xdr:pic>
      <xdr:nvPicPr>
        <xdr:cNvPr id="2049" name="Picture 2048">
          <a:extLst>
            <a:ext uri="{FF2B5EF4-FFF2-40B4-BE49-F238E27FC236}">
              <a16:creationId xmlns:a16="http://schemas.microsoft.com/office/drawing/2014/main" id="{8D721821-8039-8C6D-4364-01ACE376CF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70303" y="14631988"/>
          <a:ext cx="206744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43</xdr:row>
      <xdr:rowOff>39688</xdr:rowOff>
    </xdr:from>
    <xdr:to>
      <xdr:col>123</xdr:col>
      <xdr:colOff>460375</xdr:colOff>
      <xdr:row>43</xdr:row>
      <xdr:rowOff>293688</xdr:rowOff>
    </xdr:to>
    <xdr:pic>
      <xdr:nvPicPr>
        <xdr:cNvPr id="2052" name="Picture 2051">
          <a:extLst>
            <a:ext uri="{FF2B5EF4-FFF2-40B4-BE49-F238E27FC236}">
              <a16:creationId xmlns:a16="http://schemas.microsoft.com/office/drawing/2014/main" id="{5446C1BE-8FD1-C9BE-4470-C58A44856D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14631988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43</xdr:row>
      <xdr:rowOff>39688</xdr:rowOff>
    </xdr:from>
    <xdr:to>
      <xdr:col>51</xdr:col>
      <xdr:colOff>460375</xdr:colOff>
      <xdr:row>43</xdr:row>
      <xdr:rowOff>293688</xdr:rowOff>
    </xdr:to>
    <xdr:pic>
      <xdr:nvPicPr>
        <xdr:cNvPr id="2055" name="Picture 2054">
          <a:extLst>
            <a:ext uri="{FF2B5EF4-FFF2-40B4-BE49-F238E27FC236}">
              <a16:creationId xmlns:a16="http://schemas.microsoft.com/office/drawing/2014/main" id="{0C8B92F2-CB3B-CFFB-C691-7A9AC3FBA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14631988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43</xdr:row>
      <xdr:rowOff>39688</xdr:rowOff>
    </xdr:from>
    <xdr:to>
      <xdr:col>75</xdr:col>
      <xdr:colOff>460375</xdr:colOff>
      <xdr:row>43</xdr:row>
      <xdr:rowOff>293688</xdr:rowOff>
    </xdr:to>
    <xdr:pic>
      <xdr:nvPicPr>
        <xdr:cNvPr id="2058" name="Picture 2057">
          <a:extLst>
            <a:ext uri="{FF2B5EF4-FFF2-40B4-BE49-F238E27FC236}">
              <a16:creationId xmlns:a16="http://schemas.microsoft.com/office/drawing/2014/main" id="{6ECC8B75-A70B-24AE-9C72-24FBD28A63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14631988"/>
          <a:ext cx="254000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43</xdr:row>
      <xdr:rowOff>39688</xdr:rowOff>
    </xdr:from>
    <xdr:to>
      <xdr:col>63</xdr:col>
      <xdr:colOff>460375</xdr:colOff>
      <xdr:row>43</xdr:row>
      <xdr:rowOff>293688</xdr:rowOff>
    </xdr:to>
    <xdr:pic>
      <xdr:nvPicPr>
        <xdr:cNvPr id="2061" name="Picture 2060">
          <a:extLst>
            <a:ext uri="{FF2B5EF4-FFF2-40B4-BE49-F238E27FC236}">
              <a16:creationId xmlns:a16="http://schemas.microsoft.com/office/drawing/2014/main" id="{0F28D188-FA10-FBC7-459E-A5E7339ED9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14631988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223131</xdr:colOff>
      <xdr:row>43</xdr:row>
      <xdr:rowOff>39688</xdr:rowOff>
    </xdr:from>
    <xdr:to>
      <xdr:col>147</xdr:col>
      <xdr:colOff>443617</xdr:colOff>
      <xdr:row>43</xdr:row>
      <xdr:rowOff>293688</xdr:rowOff>
    </xdr:to>
    <xdr:pic>
      <xdr:nvPicPr>
        <xdr:cNvPr id="2064" name="Picture 2063">
          <a:extLst>
            <a:ext uri="{FF2B5EF4-FFF2-40B4-BE49-F238E27FC236}">
              <a16:creationId xmlns:a16="http://schemas.microsoft.com/office/drawing/2014/main" id="{DC68D299-7BCD-FA74-92C7-51A42CCB30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48706" y="14631988"/>
          <a:ext cx="220486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43</xdr:row>
      <xdr:rowOff>39688</xdr:rowOff>
    </xdr:from>
    <xdr:to>
      <xdr:col>111</xdr:col>
      <xdr:colOff>460375</xdr:colOff>
      <xdr:row>43</xdr:row>
      <xdr:rowOff>293688</xdr:rowOff>
    </xdr:to>
    <xdr:pic>
      <xdr:nvPicPr>
        <xdr:cNvPr id="2067" name="Picture 2066">
          <a:extLst>
            <a:ext uri="{FF2B5EF4-FFF2-40B4-BE49-F238E27FC236}">
              <a16:creationId xmlns:a16="http://schemas.microsoft.com/office/drawing/2014/main" id="{BBD1D6B0-1DBC-916F-997E-70FE74226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1463198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43</xdr:row>
      <xdr:rowOff>39688</xdr:rowOff>
    </xdr:from>
    <xdr:to>
      <xdr:col>15</xdr:col>
      <xdr:colOff>460375</xdr:colOff>
      <xdr:row>43</xdr:row>
      <xdr:rowOff>293688</xdr:rowOff>
    </xdr:to>
    <xdr:pic>
      <xdr:nvPicPr>
        <xdr:cNvPr id="2070" name="Picture 2069">
          <a:extLst>
            <a:ext uri="{FF2B5EF4-FFF2-40B4-BE49-F238E27FC236}">
              <a16:creationId xmlns:a16="http://schemas.microsoft.com/office/drawing/2014/main" id="{B2A4F515-0BC7-37D9-D7AB-E1206DDDE5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14631988"/>
          <a:ext cx="2540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43</xdr:row>
      <xdr:rowOff>39688</xdr:rowOff>
    </xdr:from>
    <xdr:to>
      <xdr:col>135</xdr:col>
      <xdr:colOff>460375</xdr:colOff>
      <xdr:row>43</xdr:row>
      <xdr:rowOff>293688</xdr:rowOff>
    </xdr:to>
    <xdr:pic>
      <xdr:nvPicPr>
        <xdr:cNvPr id="2073" name="Picture 2072">
          <a:extLst>
            <a:ext uri="{FF2B5EF4-FFF2-40B4-BE49-F238E27FC236}">
              <a16:creationId xmlns:a16="http://schemas.microsoft.com/office/drawing/2014/main" id="{1C422467-4A7B-1FA6-9E8D-D56968230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14631988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263525</xdr:colOff>
      <xdr:row>43</xdr:row>
      <xdr:rowOff>39688</xdr:rowOff>
    </xdr:from>
    <xdr:to>
      <xdr:col>87</xdr:col>
      <xdr:colOff>403225</xdr:colOff>
      <xdr:row>43</xdr:row>
      <xdr:rowOff>293688</xdr:rowOff>
    </xdr:to>
    <xdr:pic>
      <xdr:nvPicPr>
        <xdr:cNvPr id="2076" name="Picture 2075">
          <a:extLst>
            <a:ext uri="{FF2B5EF4-FFF2-40B4-BE49-F238E27FC236}">
              <a16:creationId xmlns:a16="http://schemas.microsoft.com/office/drawing/2014/main" id="{CEAAB39B-1EAC-315D-27FA-31F47C7D9D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51225" y="14631988"/>
          <a:ext cx="1397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43</xdr:row>
      <xdr:rowOff>39688</xdr:rowOff>
    </xdr:from>
    <xdr:to>
      <xdr:col>159</xdr:col>
      <xdr:colOff>460375</xdr:colOff>
      <xdr:row>43</xdr:row>
      <xdr:rowOff>293688</xdr:rowOff>
    </xdr:to>
    <xdr:pic>
      <xdr:nvPicPr>
        <xdr:cNvPr id="2079" name="Picture 2078">
          <a:extLst>
            <a:ext uri="{FF2B5EF4-FFF2-40B4-BE49-F238E27FC236}">
              <a16:creationId xmlns:a16="http://schemas.microsoft.com/office/drawing/2014/main" id="{3573029E-9A4B-A91E-467A-10A498B331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14631988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43</xdr:row>
      <xdr:rowOff>39688</xdr:rowOff>
    </xdr:from>
    <xdr:to>
      <xdr:col>39</xdr:col>
      <xdr:colOff>460375</xdr:colOff>
      <xdr:row>43</xdr:row>
      <xdr:rowOff>293688</xdr:rowOff>
    </xdr:to>
    <xdr:pic>
      <xdr:nvPicPr>
        <xdr:cNvPr id="2082" name="Picture 2081">
          <a:extLst>
            <a:ext uri="{FF2B5EF4-FFF2-40B4-BE49-F238E27FC236}">
              <a16:creationId xmlns:a16="http://schemas.microsoft.com/office/drawing/2014/main" id="{787D432C-85E7-D58E-D0AC-17169AFA6C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14631988"/>
          <a:ext cx="254000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43</xdr:row>
      <xdr:rowOff>39688</xdr:rowOff>
    </xdr:from>
    <xdr:to>
      <xdr:col>207</xdr:col>
      <xdr:colOff>460375</xdr:colOff>
      <xdr:row>43</xdr:row>
      <xdr:rowOff>293688</xdr:rowOff>
    </xdr:to>
    <xdr:pic>
      <xdr:nvPicPr>
        <xdr:cNvPr id="2085" name="Picture 2084">
          <a:extLst>
            <a:ext uri="{FF2B5EF4-FFF2-40B4-BE49-F238E27FC236}">
              <a16:creationId xmlns:a16="http://schemas.microsoft.com/office/drawing/2014/main" id="{1D297A6B-88DE-CD70-F017-FA7752EAB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14631988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181211</xdr:colOff>
      <xdr:row>43</xdr:row>
      <xdr:rowOff>39688</xdr:rowOff>
    </xdr:from>
    <xdr:to>
      <xdr:col>183</xdr:col>
      <xdr:colOff>485543</xdr:colOff>
      <xdr:row>43</xdr:row>
      <xdr:rowOff>293688</xdr:rowOff>
    </xdr:to>
    <xdr:pic>
      <xdr:nvPicPr>
        <xdr:cNvPr id="2088" name="Picture 2087">
          <a:extLst>
            <a:ext uri="{FF2B5EF4-FFF2-40B4-BE49-F238E27FC236}">
              <a16:creationId xmlns:a16="http://schemas.microsoft.com/office/drawing/2014/main" id="{04AF338C-3AFC-90C0-A9D4-DD738602AE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09511" y="14631988"/>
          <a:ext cx="304332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43</xdr:row>
      <xdr:rowOff>39688</xdr:rowOff>
    </xdr:from>
    <xdr:to>
      <xdr:col>219</xdr:col>
      <xdr:colOff>460375</xdr:colOff>
      <xdr:row>43</xdr:row>
      <xdr:rowOff>293688</xdr:rowOff>
    </xdr:to>
    <xdr:pic>
      <xdr:nvPicPr>
        <xdr:cNvPr id="2091" name="Picture 2090">
          <a:extLst>
            <a:ext uri="{FF2B5EF4-FFF2-40B4-BE49-F238E27FC236}">
              <a16:creationId xmlns:a16="http://schemas.microsoft.com/office/drawing/2014/main" id="{81D718E3-B6EB-5CBC-2120-4B9707D0AC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14631988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43</xdr:row>
      <xdr:rowOff>39688</xdr:rowOff>
    </xdr:from>
    <xdr:to>
      <xdr:col>99</xdr:col>
      <xdr:colOff>460375</xdr:colOff>
      <xdr:row>43</xdr:row>
      <xdr:rowOff>293688</xdr:rowOff>
    </xdr:to>
    <xdr:pic>
      <xdr:nvPicPr>
        <xdr:cNvPr id="2094" name="Picture 2093">
          <a:extLst>
            <a:ext uri="{FF2B5EF4-FFF2-40B4-BE49-F238E27FC236}">
              <a16:creationId xmlns:a16="http://schemas.microsoft.com/office/drawing/2014/main" id="{E40E4ECA-9B40-93D8-0CAC-F527395118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14631988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43</xdr:row>
      <xdr:rowOff>39688</xdr:rowOff>
    </xdr:from>
    <xdr:to>
      <xdr:col>231</xdr:col>
      <xdr:colOff>460375</xdr:colOff>
      <xdr:row>43</xdr:row>
      <xdr:rowOff>293688</xdr:rowOff>
    </xdr:to>
    <xdr:pic>
      <xdr:nvPicPr>
        <xdr:cNvPr id="2097" name="Picture 2096">
          <a:extLst>
            <a:ext uri="{FF2B5EF4-FFF2-40B4-BE49-F238E27FC236}">
              <a16:creationId xmlns:a16="http://schemas.microsoft.com/office/drawing/2014/main" id="{67C9934C-72C9-BF7C-F650-F8638E124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14631988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43</xdr:row>
      <xdr:rowOff>39688</xdr:rowOff>
    </xdr:from>
    <xdr:to>
      <xdr:col>195</xdr:col>
      <xdr:colOff>460375</xdr:colOff>
      <xdr:row>43</xdr:row>
      <xdr:rowOff>293688</xdr:rowOff>
    </xdr:to>
    <xdr:pic>
      <xdr:nvPicPr>
        <xdr:cNvPr id="2100" name="Picture 2099">
          <a:extLst>
            <a:ext uri="{FF2B5EF4-FFF2-40B4-BE49-F238E27FC236}">
              <a16:creationId xmlns:a16="http://schemas.microsoft.com/office/drawing/2014/main" id="{D1093C99-16EB-CFAB-7739-455D14438E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14631988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45</xdr:row>
      <xdr:rowOff>39688</xdr:rowOff>
    </xdr:from>
    <xdr:to>
      <xdr:col>3</xdr:col>
      <xdr:colOff>460375</xdr:colOff>
      <xdr:row>45</xdr:row>
      <xdr:rowOff>293688</xdr:rowOff>
    </xdr:to>
    <xdr:pic>
      <xdr:nvPicPr>
        <xdr:cNvPr id="2103" name="Picture 2102">
          <a:extLst>
            <a:ext uri="{FF2B5EF4-FFF2-40B4-BE49-F238E27FC236}">
              <a16:creationId xmlns:a16="http://schemas.microsoft.com/office/drawing/2014/main" id="{32A5CED7-C41F-54EA-A106-9A528E02FE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15298738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45</xdr:row>
      <xdr:rowOff>39688</xdr:rowOff>
    </xdr:from>
    <xdr:to>
      <xdr:col>111</xdr:col>
      <xdr:colOff>460375</xdr:colOff>
      <xdr:row>45</xdr:row>
      <xdr:rowOff>293688</xdr:rowOff>
    </xdr:to>
    <xdr:pic>
      <xdr:nvPicPr>
        <xdr:cNvPr id="2106" name="Picture 2105">
          <a:extLst>
            <a:ext uri="{FF2B5EF4-FFF2-40B4-BE49-F238E27FC236}">
              <a16:creationId xmlns:a16="http://schemas.microsoft.com/office/drawing/2014/main" id="{FF2C6A4F-0880-14AA-B60D-E6ABA8710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1529873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45</xdr:row>
      <xdr:rowOff>39688</xdr:rowOff>
    </xdr:from>
    <xdr:to>
      <xdr:col>15</xdr:col>
      <xdr:colOff>460375</xdr:colOff>
      <xdr:row>45</xdr:row>
      <xdr:rowOff>293688</xdr:rowOff>
    </xdr:to>
    <xdr:pic>
      <xdr:nvPicPr>
        <xdr:cNvPr id="2109" name="Picture 2108">
          <a:extLst>
            <a:ext uri="{FF2B5EF4-FFF2-40B4-BE49-F238E27FC236}">
              <a16:creationId xmlns:a16="http://schemas.microsoft.com/office/drawing/2014/main" id="{8B1AD3D0-D296-06B6-1AA4-C8B8FFC5F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15298738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45</xdr:row>
      <xdr:rowOff>39688</xdr:rowOff>
    </xdr:from>
    <xdr:to>
      <xdr:col>195</xdr:col>
      <xdr:colOff>460375</xdr:colOff>
      <xdr:row>45</xdr:row>
      <xdr:rowOff>293688</xdr:rowOff>
    </xdr:to>
    <xdr:pic>
      <xdr:nvPicPr>
        <xdr:cNvPr id="2112" name="Picture 2111">
          <a:extLst>
            <a:ext uri="{FF2B5EF4-FFF2-40B4-BE49-F238E27FC236}">
              <a16:creationId xmlns:a16="http://schemas.microsoft.com/office/drawing/2014/main" id="{B050B664-09DA-AA94-DAA5-D60C390A47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15298738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45</xdr:row>
      <xdr:rowOff>39688</xdr:rowOff>
    </xdr:from>
    <xdr:to>
      <xdr:col>27</xdr:col>
      <xdr:colOff>460375</xdr:colOff>
      <xdr:row>45</xdr:row>
      <xdr:rowOff>293688</xdr:rowOff>
    </xdr:to>
    <xdr:pic>
      <xdr:nvPicPr>
        <xdr:cNvPr id="2115" name="Picture 2114">
          <a:extLst>
            <a:ext uri="{FF2B5EF4-FFF2-40B4-BE49-F238E27FC236}">
              <a16:creationId xmlns:a16="http://schemas.microsoft.com/office/drawing/2014/main" id="{D132E639-E83A-1C36-6288-FE273EAB05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15298738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45</xdr:row>
      <xdr:rowOff>39688</xdr:rowOff>
    </xdr:from>
    <xdr:to>
      <xdr:col>87</xdr:col>
      <xdr:colOff>460375</xdr:colOff>
      <xdr:row>45</xdr:row>
      <xdr:rowOff>293688</xdr:rowOff>
    </xdr:to>
    <xdr:pic>
      <xdr:nvPicPr>
        <xdr:cNvPr id="2118" name="Picture 2117">
          <a:extLst>
            <a:ext uri="{FF2B5EF4-FFF2-40B4-BE49-F238E27FC236}">
              <a16:creationId xmlns:a16="http://schemas.microsoft.com/office/drawing/2014/main" id="{12A3E570-54E4-605D-FE50-2C395693CE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15298738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45</xdr:row>
      <xdr:rowOff>39688</xdr:rowOff>
    </xdr:from>
    <xdr:to>
      <xdr:col>39</xdr:col>
      <xdr:colOff>460375</xdr:colOff>
      <xdr:row>45</xdr:row>
      <xdr:rowOff>293688</xdr:rowOff>
    </xdr:to>
    <xdr:pic>
      <xdr:nvPicPr>
        <xdr:cNvPr id="2121" name="Picture 2120">
          <a:extLst>
            <a:ext uri="{FF2B5EF4-FFF2-40B4-BE49-F238E27FC236}">
              <a16:creationId xmlns:a16="http://schemas.microsoft.com/office/drawing/2014/main" id="{21F75EE6-8E6E-3A6D-B083-39FD98DE6C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15298738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45</xdr:row>
      <xdr:rowOff>39688</xdr:rowOff>
    </xdr:from>
    <xdr:to>
      <xdr:col>219</xdr:col>
      <xdr:colOff>460375</xdr:colOff>
      <xdr:row>45</xdr:row>
      <xdr:rowOff>293688</xdr:rowOff>
    </xdr:to>
    <xdr:pic>
      <xdr:nvPicPr>
        <xdr:cNvPr id="2124" name="Picture 2123">
          <a:extLst>
            <a:ext uri="{FF2B5EF4-FFF2-40B4-BE49-F238E27FC236}">
              <a16:creationId xmlns:a16="http://schemas.microsoft.com/office/drawing/2014/main" id="{5CDE825B-F78D-E1C1-FCA4-040B854571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15298738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45</xdr:row>
      <xdr:rowOff>39688</xdr:rowOff>
    </xdr:from>
    <xdr:to>
      <xdr:col>75</xdr:col>
      <xdr:colOff>460375</xdr:colOff>
      <xdr:row>45</xdr:row>
      <xdr:rowOff>293688</xdr:rowOff>
    </xdr:to>
    <xdr:pic>
      <xdr:nvPicPr>
        <xdr:cNvPr id="2127" name="Picture 2126">
          <a:extLst>
            <a:ext uri="{FF2B5EF4-FFF2-40B4-BE49-F238E27FC236}">
              <a16:creationId xmlns:a16="http://schemas.microsoft.com/office/drawing/2014/main" id="{335B0B0D-AC73-B0B6-3A33-47739655E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15298738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45</xdr:row>
      <xdr:rowOff>39688</xdr:rowOff>
    </xdr:from>
    <xdr:to>
      <xdr:col>183</xdr:col>
      <xdr:colOff>460375</xdr:colOff>
      <xdr:row>45</xdr:row>
      <xdr:rowOff>293688</xdr:rowOff>
    </xdr:to>
    <xdr:pic>
      <xdr:nvPicPr>
        <xdr:cNvPr id="2130" name="Picture 2129">
          <a:extLst>
            <a:ext uri="{FF2B5EF4-FFF2-40B4-BE49-F238E27FC236}">
              <a16:creationId xmlns:a16="http://schemas.microsoft.com/office/drawing/2014/main" id="{4641D992-EC2B-DF24-F0AA-283E5B21C8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15298738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45</xdr:row>
      <xdr:rowOff>39688</xdr:rowOff>
    </xdr:from>
    <xdr:to>
      <xdr:col>99</xdr:col>
      <xdr:colOff>460375</xdr:colOff>
      <xdr:row>45</xdr:row>
      <xdr:rowOff>293688</xdr:rowOff>
    </xdr:to>
    <xdr:pic>
      <xdr:nvPicPr>
        <xdr:cNvPr id="2133" name="Picture 2132">
          <a:extLst>
            <a:ext uri="{FF2B5EF4-FFF2-40B4-BE49-F238E27FC236}">
              <a16:creationId xmlns:a16="http://schemas.microsoft.com/office/drawing/2014/main" id="{74866B62-BDB5-E1A2-6791-CF107F03C4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15298738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45</xdr:row>
      <xdr:rowOff>39688</xdr:rowOff>
    </xdr:from>
    <xdr:to>
      <xdr:col>147</xdr:col>
      <xdr:colOff>460375</xdr:colOff>
      <xdr:row>45</xdr:row>
      <xdr:rowOff>293688</xdr:rowOff>
    </xdr:to>
    <xdr:pic>
      <xdr:nvPicPr>
        <xdr:cNvPr id="2136" name="Picture 2135">
          <a:extLst>
            <a:ext uri="{FF2B5EF4-FFF2-40B4-BE49-F238E27FC236}">
              <a16:creationId xmlns:a16="http://schemas.microsoft.com/office/drawing/2014/main" id="{CB84E0E8-7CB9-6946-59E5-4977378830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15298738"/>
          <a:ext cx="254000" cy="254000"/>
        </a:xfrm>
        <a:prstGeom prst="rect">
          <a:avLst/>
        </a:prstGeom>
      </xdr:spPr>
    </xdr:pic>
    <xdr:clientData/>
  </xdr:twoCellAnchor>
  <xdr:twoCellAnchor>
    <xdr:from>
      <xdr:col>123</xdr:col>
      <xdr:colOff>223131</xdr:colOff>
      <xdr:row>45</xdr:row>
      <xdr:rowOff>39688</xdr:rowOff>
    </xdr:from>
    <xdr:to>
      <xdr:col>123</xdr:col>
      <xdr:colOff>443617</xdr:colOff>
      <xdr:row>45</xdr:row>
      <xdr:rowOff>293688</xdr:rowOff>
    </xdr:to>
    <xdr:pic>
      <xdr:nvPicPr>
        <xdr:cNvPr id="2139" name="Picture 2138">
          <a:extLst>
            <a:ext uri="{FF2B5EF4-FFF2-40B4-BE49-F238E27FC236}">
              <a16:creationId xmlns:a16="http://schemas.microsoft.com/office/drawing/2014/main" id="{EA430005-06F3-A103-7B6B-6B036B80EE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013556" y="15298738"/>
          <a:ext cx="220486" cy="254000"/>
        </a:xfrm>
        <a:prstGeom prst="rect">
          <a:avLst/>
        </a:prstGeom>
      </xdr:spPr>
    </xdr:pic>
    <xdr:clientData/>
  </xdr:twoCellAnchor>
  <xdr:twoCellAnchor>
    <xdr:from>
      <xdr:col>63</xdr:col>
      <xdr:colOff>230001</xdr:colOff>
      <xdr:row>45</xdr:row>
      <xdr:rowOff>39688</xdr:rowOff>
    </xdr:from>
    <xdr:to>
      <xdr:col>63</xdr:col>
      <xdr:colOff>436745</xdr:colOff>
      <xdr:row>45</xdr:row>
      <xdr:rowOff>293688</xdr:rowOff>
    </xdr:to>
    <xdr:pic>
      <xdr:nvPicPr>
        <xdr:cNvPr id="2142" name="Picture 2141">
          <a:extLst>
            <a:ext uri="{FF2B5EF4-FFF2-40B4-BE49-F238E27FC236}">
              <a16:creationId xmlns:a16="http://schemas.microsoft.com/office/drawing/2014/main" id="{2CC4EBFE-3C70-DFFF-5694-0B5373AC6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82551" y="15298738"/>
          <a:ext cx="206744" cy="254000"/>
        </a:xfrm>
        <a:prstGeom prst="rect">
          <a:avLst/>
        </a:prstGeom>
      </xdr:spPr>
    </xdr:pic>
    <xdr:clientData/>
  </xdr:twoCellAnchor>
  <xdr:twoCellAnchor>
    <xdr:from>
      <xdr:col>159</xdr:col>
      <xdr:colOff>263525</xdr:colOff>
      <xdr:row>45</xdr:row>
      <xdr:rowOff>39688</xdr:rowOff>
    </xdr:from>
    <xdr:to>
      <xdr:col>159</xdr:col>
      <xdr:colOff>403225</xdr:colOff>
      <xdr:row>45</xdr:row>
      <xdr:rowOff>293688</xdr:rowOff>
    </xdr:to>
    <xdr:pic>
      <xdr:nvPicPr>
        <xdr:cNvPr id="2145" name="Picture 2144">
          <a:extLst>
            <a:ext uri="{FF2B5EF4-FFF2-40B4-BE49-F238E27FC236}">
              <a16:creationId xmlns:a16="http://schemas.microsoft.com/office/drawing/2014/main" id="{96383960-C743-E787-DF50-E16662FA56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856675" y="15298738"/>
          <a:ext cx="1397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45</xdr:row>
      <xdr:rowOff>39688</xdr:rowOff>
    </xdr:from>
    <xdr:to>
      <xdr:col>135</xdr:col>
      <xdr:colOff>460375</xdr:colOff>
      <xdr:row>45</xdr:row>
      <xdr:rowOff>293688</xdr:rowOff>
    </xdr:to>
    <xdr:pic>
      <xdr:nvPicPr>
        <xdr:cNvPr id="2148" name="Picture 2147">
          <a:extLst>
            <a:ext uri="{FF2B5EF4-FFF2-40B4-BE49-F238E27FC236}">
              <a16:creationId xmlns:a16="http://schemas.microsoft.com/office/drawing/2014/main" id="{9AB316E5-DBC2-B6B8-27EC-A82715BD77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15298738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45</xdr:row>
      <xdr:rowOff>39688</xdr:rowOff>
    </xdr:from>
    <xdr:to>
      <xdr:col>171</xdr:col>
      <xdr:colOff>460375</xdr:colOff>
      <xdr:row>45</xdr:row>
      <xdr:rowOff>293688</xdr:rowOff>
    </xdr:to>
    <xdr:pic>
      <xdr:nvPicPr>
        <xdr:cNvPr id="2151" name="Picture 2150">
          <a:extLst>
            <a:ext uri="{FF2B5EF4-FFF2-40B4-BE49-F238E27FC236}">
              <a16:creationId xmlns:a16="http://schemas.microsoft.com/office/drawing/2014/main" id="{5B723FC0-5440-A783-B710-98C088454A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15298738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45</xdr:row>
      <xdr:rowOff>39688</xdr:rowOff>
    </xdr:from>
    <xdr:to>
      <xdr:col>51</xdr:col>
      <xdr:colOff>460375</xdr:colOff>
      <xdr:row>45</xdr:row>
      <xdr:rowOff>293688</xdr:rowOff>
    </xdr:to>
    <xdr:pic>
      <xdr:nvPicPr>
        <xdr:cNvPr id="2154" name="Picture 2153">
          <a:extLst>
            <a:ext uri="{FF2B5EF4-FFF2-40B4-BE49-F238E27FC236}">
              <a16:creationId xmlns:a16="http://schemas.microsoft.com/office/drawing/2014/main" id="{3A65B3A6-6E57-367D-943D-6359B548A6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15298738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181211</xdr:colOff>
      <xdr:row>45</xdr:row>
      <xdr:rowOff>39688</xdr:rowOff>
    </xdr:from>
    <xdr:to>
      <xdr:col>231</xdr:col>
      <xdr:colOff>485543</xdr:colOff>
      <xdr:row>45</xdr:row>
      <xdr:rowOff>293688</xdr:rowOff>
    </xdr:to>
    <xdr:pic>
      <xdr:nvPicPr>
        <xdr:cNvPr id="2157" name="Picture 2156">
          <a:extLst>
            <a:ext uri="{FF2B5EF4-FFF2-40B4-BE49-F238E27FC236}">
              <a16:creationId xmlns:a16="http://schemas.microsoft.com/office/drawing/2014/main" id="{A5595C5D-8321-E608-736E-373C43E59D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379811" y="15298738"/>
          <a:ext cx="304332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45</xdr:row>
      <xdr:rowOff>39688</xdr:rowOff>
    </xdr:from>
    <xdr:to>
      <xdr:col>207</xdr:col>
      <xdr:colOff>460375</xdr:colOff>
      <xdr:row>45</xdr:row>
      <xdr:rowOff>293688</xdr:rowOff>
    </xdr:to>
    <xdr:pic>
      <xdr:nvPicPr>
        <xdr:cNvPr id="2160" name="Picture 2159">
          <a:extLst>
            <a:ext uri="{FF2B5EF4-FFF2-40B4-BE49-F238E27FC236}">
              <a16:creationId xmlns:a16="http://schemas.microsoft.com/office/drawing/2014/main" id="{8C53FB23-96EB-6A04-F861-EB22A8C6CF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15298738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46</xdr:row>
      <xdr:rowOff>39688</xdr:rowOff>
    </xdr:from>
    <xdr:to>
      <xdr:col>51</xdr:col>
      <xdr:colOff>460375</xdr:colOff>
      <xdr:row>46</xdr:row>
      <xdr:rowOff>293688</xdr:rowOff>
    </xdr:to>
    <xdr:pic>
      <xdr:nvPicPr>
        <xdr:cNvPr id="2163" name="Picture 2162">
          <a:extLst>
            <a:ext uri="{FF2B5EF4-FFF2-40B4-BE49-F238E27FC236}">
              <a16:creationId xmlns:a16="http://schemas.microsoft.com/office/drawing/2014/main" id="{BED3DFBD-8485-DE20-27D8-1F3ACB5268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15632113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46</xdr:row>
      <xdr:rowOff>39688</xdr:rowOff>
    </xdr:from>
    <xdr:to>
      <xdr:col>231</xdr:col>
      <xdr:colOff>460375</xdr:colOff>
      <xdr:row>46</xdr:row>
      <xdr:rowOff>293688</xdr:rowOff>
    </xdr:to>
    <xdr:pic>
      <xdr:nvPicPr>
        <xdr:cNvPr id="2166" name="Picture 2165">
          <a:extLst>
            <a:ext uri="{FF2B5EF4-FFF2-40B4-BE49-F238E27FC236}">
              <a16:creationId xmlns:a16="http://schemas.microsoft.com/office/drawing/2014/main" id="{BC1059A0-6EA7-B7BE-B4EC-8E1FC231A2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15632113"/>
          <a:ext cx="254000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46</xdr:row>
      <xdr:rowOff>39688</xdr:rowOff>
    </xdr:from>
    <xdr:to>
      <xdr:col>63</xdr:col>
      <xdr:colOff>460375</xdr:colOff>
      <xdr:row>46</xdr:row>
      <xdr:rowOff>293688</xdr:rowOff>
    </xdr:to>
    <xdr:pic>
      <xdr:nvPicPr>
        <xdr:cNvPr id="2169" name="Picture 2168">
          <a:extLst>
            <a:ext uri="{FF2B5EF4-FFF2-40B4-BE49-F238E27FC236}">
              <a16:creationId xmlns:a16="http://schemas.microsoft.com/office/drawing/2014/main" id="{4B4FD836-3417-3625-FDBD-3AA0F24633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15632113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223132</xdr:colOff>
      <xdr:row>46</xdr:row>
      <xdr:rowOff>39688</xdr:rowOff>
    </xdr:from>
    <xdr:to>
      <xdr:col>15</xdr:col>
      <xdr:colOff>443618</xdr:colOff>
      <xdr:row>46</xdr:row>
      <xdr:rowOff>293688</xdr:rowOff>
    </xdr:to>
    <xdr:pic>
      <xdr:nvPicPr>
        <xdr:cNvPr id="2172" name="Picture 2171">
          <a:extLst>
            <a:ext uri="{FF2B5EF4-FFF2-40B4-BE49-F238E27FC236}">
              <a16:creationId xmlns:a16="http://schemas.microsoft.com/office/drawing/2014/main" id="{F344806A-7459-EE56-99F6-5250C5708E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6332" y="15632113"/>
          <a:ext cx="220486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46</xdr:row>
      <xdr:rowOff>39688</xdr:rowOff>
    </xdr:from>
    <xdr:to>
      <xdr:col>87</xdr:col>
      <xdr:colOff>460375</xdr:colOff>
      <xdr:row>46</xdr:row>
      <xdr:rowOff>293688</xdr:rowOff>
    </xdr:to>
    <xdr:pic>
      <xdr:nvPicPr>
        <xdr:cNvPr id="2175" name="Picture 2174">
          <a:extLst>
            <a:ext uri="{FF2B5EF4-FFF2-40B4-BE49-F238E27FC236}">
              <a16:creationId xmlns:a16="http://schemas.microsoft.com/office/drawing/2014/main" id="{9D251222-97D3-00ED-42A7-53FBEF5A3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15632113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46</xdr:row>
      <xdr:rowOff>39688</xdr:rowOff>
    </xdr:from>
    <xdr:to>
      <xdr:col>99</xdr:col>
      <xdr:colOff>460375</xdr:colOff>
      <xdr:row>46</xdr:row>
      <xdr:rowOff>293688</xdr:rowOff>
    </xdr:to>
    <xdr:pic>
      <xdr:nvPicPr>
        <xdr:cNvPr id="2178" name="Picture 2177">
          <a:extLst>
            <a:ext uri="{FF2B5EF4-FFF2-40B4-BE49-F238E27FC236}">
              <a16:creationId xmlns:a16="http://schemas.microsoft.com/office/drawing/2014/main" id="{7B52921A-A8E3-93B5-5F26-D406523B3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15632113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46</xdr:row>
      <xdr:rowOff>39688</xdr:rowOff>
    </xdr:from>
    <xdr:to>
      <xdr:col>111</xdr:col>
      <xdr:colOff>460375</xdr:colOff>
      <xdr:row>46</xdr:row>
      <xdr:rowOff>293688</xdr:rowOff>
    </xdr:to>
    <xdr:pic>
      <xdr:nvPicPr>
        <xdr:cNvPr id="2181" name="Picture 2180">
          <a:extLst>
            <a:ext uri="{FF2B5EF4-FFF2-40B4-BE49-F238E27FC236}">
              <a16:creationId xmlns:a16="http://schemas.microsoft.com/office/drawing/2014/main" id="{1BCCDC75-81CE-6409-D021-000832D032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15632113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46</xdr:row>
      <xdr:rowOff>39688</xdr:rowOff>
    </xdr:from>
    <xdr:to>
      <xdr:col>27</xdr:col>
      <xdr:colOff>460375</xdr:colOff>
      <xdr:row>46</xdr:row>
      <xdr:rowOff>293688</xdr:rowOff>
    </xdr:to>
    <xdr:pic>
      <xdr:nvPicPr>
        <xdr:cNvPr id="2184" name="Picture 2183">
          <a:extLst>
            <a:ext uri="{FF2B5EF4-FFF2-40B4-BE49-F238E27FC236}">
              <a16:creationId xmlns:a16="http://schemas.microsoft.com/office/drawing/2014/main" id="{6DC96CF6-06F3-EAE1-6922-BEEADF67B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15632113"/>
          <a:ext cx="2540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46</xdr:row>
      <xdr:rowOff>39688</xdr:rowOff>
    </xdr:from>
    <xdr:to>
      <xdr:col>135</xdr:col>
      <xdr:colOff>460375</xdr:colOff>
      <xdr:row>46</xdr:row>
      <xdr:rowOff>293688</xdr:rowOff>
    </xdr:to>
    <xdr:pic>
      <xdr:nvPicPr>
        <xdr:cNvPr id="2187" name="Picture 2186">
          <a:extLst>
            <a:ext uri="{FF2B5EF4-FFF2-40B4-BE49-F238E27FC236}">
              <a16:creationId xmlns:a16="http://schemas.microsoft.com/office/drawing/2014/main" id="{C7042F3F-D795-AE73-DAD4-3CB2CBB904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15632113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263525</xdr:colOff>
      <xdr:row>46</xdr:row>
      <xdr:rowOff>39688</xdr:rowOff>
    </xdr:from>
    <xdr:to>
      <xdr:col>75</xdr:col>
      <xdr:colOff>403225</xdr:colOff>
      <xdr:row>46</xdr:row>
      <xdr:rowOff>293688</xdr:rowOff>
    </xdr:to>
    <xdr:pic>
      <xdr:nvPicPr>
        <xdr:cNvPr id="2190" name="Picture 2189">
          <a:extLst>
            <a:ext uri="{FF2B5EF4-FFF2-40B4-BE49-F238E27FC236}">
              <a16:creationId xmlns:a16="http://schemas.microsoft.com/office/drawing/2014/main" id="{684FFEC4-4784-4748-E700-DFF4F8378C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83650" y="15632113"/>
          <a:ext cx="1397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46</xdr:row>
      <xdr:rowOff>39688</xdr:rowOff>
    </xdr:from>
    <xdr:to>
      <xdr:col>147</xdr:col>
      <xdr:colOff>460375</xdr:colOff>
      <xdr:row>46</xdr:row>
      <xdr:rowOff>293688</xdr:rowOff>
    </xdr:to>
    <xdr:pic>
      <xdr:nvPicPr>
        <xdr:cNvPr id="2193" name="Picture 2192">
          <a:extLst>
            <a:ext uri="{FF2B5EF4-FFF2-40B4-BE49-F238E27FC236}">
              <a16:creationId xmlns:a16="http://schemas.microsoft.com/office/drawing/2014/main" id="{BF8A9547-166F-D4C5-A308-BC59265511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15632113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46</xdr:row>
      <xdr:rowOff>39688</xdr:rowOff>
    </xdr:from>
    <xdr:to>
      <xdr:col>39</xdr:col>
      <xdr:colOff>460375</xdr:colOff>
      <xdr:row>46</xdr:row>
      <xdr:rowOff>293688</xdr:rowOff>
    </xdr:to>
    <xdr:pic>
      <xdr:nvPicPr>
        <xdr:cNvPr id="2196" name="Picture 2195">
          <a:extLst>
            <a:ext uri="{FF2B5EF4-FFF2-40B4-BE49-F238E27FC236}">
              <a16:creationId xmlns:a16="http://schemas.microsoft.com/office/drawing/2014/main" id="{19523698-2ED0-FB98-FE33-4B9703D51C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15632113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46</xdr:row>
      <xdr:rowOff>39688</xdr:rowOff>
    </xdr:from>
    <xdr:to>
      <xdr:col>183</xdr:col>
      <xdr:colOff>460375</xdr:colOff>
      <xdr:row>46</xdr:row>
      <xdr:rowOff>293688</xdr:rowOff>
    </xdr:to>
    <xdr:pic>
      <xdr:nvPicPr>
        <xdr:cNvPr id="2199" name="Picture 2198">
          <a:extLst>
            <a:ext uri="{FF2B5EF4-FFF2-40B4-BE49-F238E27FC236}">
              <a16:creationId xmlns:a16="http://schemas.microsoft.com/office/drawing/2014/main" id="{C830B403-2677-B4B0-992D-584C80860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15632113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46</xdr:row>
      <xdr:rowOff>39688</xdr:rowOff>
    </xdr:from>
    <xdr:to>
      <xdr:col>171</xdr:col>
      <xdr:colOff>460375</xdr:colOff>
      <xdr:row>46</xdr:row>
      <xdr:rowOff>293688</xdr:rowOff>
    </xdr:to>
    <xdr:pic>
      <xdr:nvPicPr>
        <xdr:cNvPr id="2202" name="Picture 2201">
          <a:extLst>
            <a:ext uri="{FF2B5EF4-FFF2-40B4-BE49-F238E27FC236}">
              <a16:creationId xmlns:a16="http://schemas.microsoft.com/office/drawing/2014/main" id="{C468BA86-B9A3-4648-944F-35944D5742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15632113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230001</xdr:colOff>
      <xdr:row>46</xdr:row>
      <xdr:rowOff>39688</xdr:rowOff>
    </xdr:from>
    <xdr:to>
      <xdr:col>195</xdr:col>
      <xdr:colOff>436745</xdr:colOff>
      <xdr:row>46</xdr:row>
      <xdr:rowOff>293688</xdr:rowOff>
    </xdr:to>
    <xdr:pic>
      <xdr:nvPicPr>
        <xdr:cNvPr id="2205" name="Picture 2204">
          <a:extLst>
            <a:ext uri="{FF2B5EF4-FFF2-40B4-BE49-F238E27FC236}">
              <a16:creationId xmlns:a16="http://schemas.microsoft.com/office/drawing/2014/main" id="{90C2C041-7E65-8367-5D3E-6A12EF71BE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25876" y="15632113"/>
          <a:ext cx="206744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46</xdr:row>
      <xdr:rowOff>39688</xdr:rowOff>
    </xdr:from>
    <xdr:to>
      <xdr:col>123</xdr:col>
      <xdr:colOff>460375</xdr:colOff>
      <xdr:row>46</xdr:row>
      <xdr:rowOff>293688</xdr:rowOff>
    </xdr:to>
    <xdr:pic>
      <xdr:nvPicPr>
        <xdr:cNvPr id="2208" name="Picture 2207">
          <a:extLst>
            <a:ext uri="{FF2B5EF4-FFF2-40B4-BE49-F238E27FC236}">
              <a16:creationId xmlns:a16="http://schemas.microsoft.com/office/drawing/2014/main" id="{172F217A-FB9F-5B29-62D0-4A7DC1A80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15632113"/>
          <a:ext cx="254000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46</xdr:row>
      <xdr:rowOff>39688</xdr:rowOff>
    </xdr:from>
    <xdr:to>
      <xdr:col>207</xdr:col>
      <xdr:colOff>460375</xdr:colOff>
      <xdr:row>46</xdr:row>
      <xdr:rowOff>293688</xdr:rowOff>
    </xdr:to>
    <xdr:pic>
      <xdr:nvPicPr>
        <xdr:cNvPr id="2211" name="Picture 2210">
          <a:extLst>
            <a:ext uri="{FF2B5EF4-FFF2-40B4-BE49-F238E27FC236}">
              <a16:creationId xmlns:a16="http://schemas.microsoft.com/office/drawing/2014/main" id="{C34CC90A-F3CA-0ACA-731C-AC62BA6F11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15632113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181211</xdr:colOff>
      <xdr:row>46</xdr:row>
      <xdr:rowOff>39688</xdr:rowOff>
    </xdr:from>
    <xdr:to>
      <xdr:col>159</xdr:col>
      <xdr:colOff>485543</xdr:colOff>
      <xdr:row>46</xdr:row>
      <xdr:rowOff>293688</xdr:rowOff>
    </xdr:to>
    <xdr:pic>
      <xdr:nvPicPr>
        <xdr:cNvPr id="2214" name="Picture 2213">
          <a:extLst>
            <a:ext uri="{FF2B5EF4-FFF2-40B4-BE49-F238E27FC236}">
              <a16:creationId xmlns:a16="http://schemas.microsoft.com/office/drawing/2014/main" id="{C0A14DBE-F347-E0F6-325A-297F93C5BA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74361" y="15632113"/>
          <a:ext cx="304332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46</xdr:row>
      <xdr:rowOff>39688</xdr:rowOff>
    </xdr:from>
    <xdr:to>
      <xdr:col>219</xdr:col>
      <xdr:colOff>460375</xdr:colOff>
      <xdr:row>46</xdr:row>
      <xdr:rowOff>293688</xdr:rowOff>
    </xdr:to>
    <xdr:pic>
      <xdr:nvPicPr>
        <xdr:cNvPr id="2217" name="Picture 2216">
          <a:extLst>
            <a:ext uri="{FF2B5EF4-FFF2-40B4-BE49-F238E27FC236}">
              <a16:creationId xmlns:a16="http://schemas.microsoft.com/office/drawing/2014/main" id="{A5DDBC5C-EB9E-4FCB-21A7-4E2B2E2F27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1563211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46</xdr:row>
      <xdr:rowOff>39688</xdr:rowOff>
    </xdr:from>
    <xdr:to>
      <xdr:col>3</xdr:col>
      <xdr:colOff>460375</xdr:colOff>
      <xdr:row>46</xdr:row>
      <xdr:rowOff>293688</xdr:rowOff>
    </xdr:to>
    <xdr:pic>
      <xdr:nvPicPr>
        <xdr:cNvPr id="2220" name="Picture 2219">
          <a:extLst>
            <a:ext uri="{FF2B5EF4-FFF2-40B4-BE49-F238E27FC236}">
              <a16:creationId xmlns:a16="http://schemas.microsoft.com/office/drawing/2014/main" id="{D7C9220C-C922-A6B8-01D1-44BDEBB6B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1563211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223132</xdr:colOff>
      <xdr:row>47</xdr:row>
      <xdr:rowOff>39688</xdr:rowOff>
    </xdr:from>
    <xdr:to>
      <xdr:col>3</xdr:col>
      <xdr:colOff>443618</xdr:colOff>
      <xdr:row>47</xdr:row>
      <xdr:rowOff>293688</xdr:rowOff>
    </xdr:to>
    <xdr:pic>
      <xdr:nvPicPr>
        <xdr:cNvPr id="2223" name="Picture 2222">
          <a:extLst>
            <a:ext uri="{FF2B5EF4-FFF2-40B4-BE49-F238E27FC236}">
              <a16:creationId xmlns:a16="http://schemas.microsoft.com/office/drawing/2014/main" id="{AC366840-03AF-16CB-7EE4-3254D4FFB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56782" y="15965488"/>
          <a:ext cx="220486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47</xdr:row>
      <xdr:rowOff>39688</xdr:rowOff>
    </xdr:from>
    <xdr:to>
      <xdr:col>63</xdr:col>
      <xdr:colOff>460375</xdr:colOff>
      <xdr:row>47</xdr:row>
      <xdr:rowOff>293688</xdr:rowOff>
    </xdr:to>
    <xdr:pic>
      <xdr:nvPicPr>
        <xdr:cNvPr id="2226" name="Picture 2225">
          <a:extLst>
            <a:ext uri="{FF2B5EF4-FFF2-40B4-BE49-F238E27FC236}">
              <a16:creationId xmlns:a16="http://schemas.microsoft.com/office/drawing/2014/main" id="{C0608525-582E-1908-901B-066209B76A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15965488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263525</xdr:colOff>
      <xdr:row>47</xdr:row>
      <xdr:rowOff>39688</xdr:rowOff>
    </xdr:from>
    <xdr:to>
      <xdr:col>15</xdr:col>
      <xdr:colOff>403225</xdr:colOff>
      <xdr:row>47</xdr:row>
      <xdr:rowOff>293688</xdr:rowOff>
    </xdr:to>
    <xdr:pic>
      <xdr:nvPicPr>
        <xdr:cNvPr id="2229" name="Picture 2228">
          <a:extLst>
            <a:ext uri="{FF2B5EF4-FFF2-40B4-BE49-F238E27FC236}">
              <a16:creationId xmlns:a16="http://schemas.microsoft.com/office/drawing/2014/main" id="{1576A8DE-503D-A3F6-1718-57BB204168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26725" y="15965488"/>
          <a:ext cx="1397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47</xdr:row>
      <xdr:rowOff>39688</xdr:rowOff>
    </xdr:from>
    <xdr:to>
      <xdr:col>135</xdr:col>
      <xdr:colOff>460375</xdr:colOff>
      <xdr:row>47</xdr:row>
      <xdr:rowOff>293688</xdr:rowOff>
    </xdr:to>
    <xdr:pic>
      <xdr:nvPicPr>
        <xdr:cNvPr id="2232" name="Picture 2231">
          <a:extLst>
            <a:ext uri="{FF2B5EF4-FFF2-40B4-BE49-F238E27FC236}">
              <a16:creationId xmlns:a16="http://schemas.microsoft.com/office/drawing/2014/main" id="{FFA781FF-A9C7-2418-9C42-4E3774AA87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15965488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47</xdr:row>
      <xdr:rowOff>39688</xdr:rowOff>
    </xdr:from>
    <xdr:to>
      <xdr:col>27</xdr:col>
      <xdr:colOff>460375</xdr:colOff>
      <xdr:row>47</xdr:row>
      <xdr:rowOff>293688</xdr:rowOff>
    </xdr:to>
    <xdr:pic>
      <xdr:nvPicPr>
        <xdr:cNvPr id="2235" name="Picture 2234">
          <a:extLst>
            <a:ext uri="{FF2B5EF4-FFF2-40B4-BE49-F238E27FC236}">
              <a16:creationId xmlns:a16="http://schemas.microsoft.com/office/drawing/2014/main" id="{00B2C424-1422-B3FA-5CA3-657B4F8B00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15965488"/>
          <a:ext cx="2540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47</xdr:row>
      <xdr:rowOff>39688</xdr:rowOff>
    </xdr:from>
    <xdr:to>
      <xdr:col>147</xdr:col>
      <xdr:colOff>460375</xdr:colOff>
      <xdr:row>47</xdr:row>
      <xdr:rowOff>293688</xdr:rowOff>
    </xdr:to>
    <xdr:pic>
      <xdr:nvPicPr>
        <xdr:cNvPr id="2238" name="Picture 2237">
          <a:extLst>
            <a:ext uri="{FF2B5EF4-FFF2-40B4-BE49-F238E27FC236}">
              <a16:creationId xmlns:a16="http://schemas.microsoft.com/office/drawing/2014/main" id="{21260083-1E19-D6BC-029C-DA961789F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15965488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206375</xdr:colOff>
      <xdr:row>47</xdr:row>
      <xdr:rowOff>39688</xdr:rowOff>
    </xdr:from>
    <xdr:to>
      <xdr:col>39</xdr:col>
      <xdr:colOff>460375</xdr:colOff>
      <xdr:row>47</xdr:row>
      <xdr:rowOff>293688</xdr:rowOff>
    </xdr:to>
    <xdr:pic>
      <xdr:nvPicPr>
        <xdr:cNvPr id="2241" name="Picture 2240">
          <a:extLst>
            <a:ext uri="{FF2B5EF4-FFF2-40B4-BE49-F238E27FC236}">
              <a16:creationId xmlns:a16="http://schemas.microsoft.com/office/drawing/2014/main" id="{423404DA-C04A-D619-F9DB-8EF9D21F72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04725" y="15965488"/>
          <a:ext cx="254000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47</xdr:row>
      <xdr:rowOff>39688</xdr:rowOff>
    </xdr:from>
    <xdr:to>
      <xdr:col>87</xdr:col>
      <xdr:colOff>460375</xdr:colOff>
      <xdr:row>47</xdr:row>
      <xdr:rowOff>293688</xdr:rowOff>
    </xdr:to>
    <xdr:pic>
      <xdr:nvPicPr>
        <xdr:cNvPr id="2244" name="Picture 2243">
          <a:extLst>
            <a:ext uri="{FF2B5EF4-FFF2-40B4-BE49-F238E27FC236}">
              <a16:creationId xmlns:a16="http://schemas.microsoft.com/office/drawing/2014/main" id="{6B49937A-6DEB-0DF6-AB9B-93C7E9CF36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15965488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206375</xdr:colOff>
      <xdr:row>47</xdr:row>
      <xdr:rowOff>39688</xdr:rowOff>
    </xdr:from>
    <xdr:to>
      <xdr:col>75</xdr:col>
      <xdr:colOff>460375</xdr:colOff>
      <xdr:row>47</xdr:row>
      <xdr:rowOff>293688</xdr:rowOff>
    </xdr:to>
    <xdr:pic>
      <xdr:nvPicPr>
        <xdr:cNvPr id="2247" name="Picture 2246">
          <a:extLst>
            <a:ext uri="{FF2B5EF4-FFF2-40B4-BE49-F238E27FC236}">
              <a16:creationId xmlns:a16="http://schemas.microsoft.com/office/drawing/2014/main" id="{03707E30-426C-5A64-29AA-B81D0E22ED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0" y="15965488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47</xdr:row>
      <xdr:rowOff>39688</xdr:rowOff>
    </xdr:from>
    <xdr:to>
      <xdr:col>195</xdr:col>
      <xdr:colOff>460375</xdr:colOff>
      <xdr:row>47</xdr:row>
      <xdr:rowOff>293688</xdr:rowOff>
    </xdr:to>
    <xdr:pic>
      <xdr:nvPicPr>
        <xdr:cNvPr id="2250" name="Picture 2249">
          <a:extLst>
            <a:ext uri="{FF2B5EF4-FFF2-40B4-BE49-F238E27FC236}">
              <a16:creationId xmlns:a16="http://schemas.microsoft.com/office/drawing/2014/main" id="{1CB50767-D345-DB2F-A332-033D8FE385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15965488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181211</xdr:colOff>
      <xdr:row>47</xdr:row>
      <xdr:rowOff>39688</xdr:rowOff>
    </xdr:from>
    <xdr:to>
      <xdr:col>99</xdr:col>
      <xdr:colOff>485543</xdr:colOff>
      <xdr:row>47</xdr:row>
      <xdr:rowOff>293688</xdr:rowOff>
    </xdr:to>
    <xdr:pic>
      <xdr:nvPicPr>
        <xdr:cNvPr id="2253" name="Picture 2252">
          <a:extLst>
            <a:ext uri="{FF2B5EF4-FFF2-40B4-BE49-F238E27FC236}">
              <a16:creationId xmlns:a16="http://schemas.microsoft.com/office/drawing/2014/main" id="{9B13D986-E54D-DD54-5FBB-18783ED2BF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36486" y="15965488"/>
          <a:ext cx="304332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47</xdr:row>
      <xdr:rowOff>39688</xdr:rowOff>
    </xdr:from>
    <xdr:to>
      <xdr:col>207</xdr:col>
      <xdr:colOff>460375</xdr:colOff>
      <xdr:row>47</xdr:row>
      <xdr:rowOff>293688</xdr:rowOff>
    </xdr:to>
    <xdr:pic>
      <xdr:nvPicPr>
        <xdr:cNvPr id="2256" name="Picture 2255">
          <a:extLst>
            <a:ext uri="{FF2B5EF4-FFF2-40B4-BE49-F238E27FC236}">
              <a16:creationId xmlns:a16="http://schemas.microsoft.com/office/drawing/2014/main" id="{8A1432E8-FE76-3BC9-9F11-D483A9D491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15965488"/>
          <a:ext cx="254000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47</xdr:row>
      <xdr:rowOff>39688</xdr:rowOff>
    </xdr:from>
    <xdr:to>
      <xdr:col>123</xdr:col>
      <xdr:colOff>460375</xdr:colOff>
      <xdr:row>47</xdr:row>
      <xdr:rowOff>293688</xdr:rowOff>
    </xdr:to>
    <xdr:pic>
      <xdr:nvPicPr>
        <xdr:cNvPr id="2259" name="Picture 2258">
          <a:extLst>
            <a:ext uri="{FF2B5EF4-FFF2-40B4-BE49-F238E27FC236}">
              <a16:creationId xmlns:a16="http://schemas.microsoft.com/office/drawing/2014/main" id="{9AFEAF2A-E676-4742-240F-C58AA2222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15965488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230001</xdr:colOff>
      <xdr:row>47</xdr:row>
      <xdr:rowOff>39688</xdr:rowOff>
    </xdr:from>
    <xdr:to>
      <xdr:col>51</xdr:col>
      <xdr:colOff>436745</xdr:colOff>
      <xdr:row>47</xdr:row>
      <xdr:rowOff>293688</xdr:rowOff>
    </xdr:to>
    <xdr:pic>
      <xdr:nvPicPr>
        <xdr:cNvPr id="2262" name="Picture 2261">
          <a:extLst>
            <a:ext uri="{FF2B5EF4-FFF2-40B4-BE49-F238E27FC236}">
              <a16:creationId xmlns:a16="http://schemas.microsoft.com/office/drawing/2014/main" id="{262C679B-A7D7-9ECA-EFAC-14A2DAE257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405451" y="15965488"/>
          <a:ext cx="206744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47</xdr:row>
      <xdr:rowOff>39688</xdr:rowOff>
    </xdr:from>
    <xdr:to>
      <xdr:col>159</xdr:col>
      <xdr:colOff>460375</xdr:colOff>
      <xdr:row>47</xdr:row>
      <xdr:rowOff>293688</xdr:rowOff>
    </xdr:to>
    <xdr:pic>
      <xdr:nvPicPr>
        <xdr:cNvPr id="2265" name="Picture 2264">
          <a:extLst>
            <a:ext uri="{FF2B5EF4-FFF2-40B4-BE49-F238E27FC236}">
              <a16:creationId xmlns:a16="http://schemas.microsoft.com/office/drawing/2014/main" id="{12C73AEB-5685-C518-3489-86CAF31694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15965488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47</xdr:row>
      <xdr:rowOff>39688</xdr:rowOff>
    </xdr:from>
    <xdr:to>
      <xdr:col>183</xdr:col>
      <xdr:colOff>460375</xdr:colOff>
      <xdr:row>47</xdr:row>
      <xdr:rowOff>293688</xdr:rowOff>
    </xdr:to>
    <xdr:pic>
      <xdr:nvPicPr>
        <xdr:cNvPr id="2268" name="Picture 2267">
          <a:extLst>
            <a:ext uri="{FF2B5EF4-FFF2-40B4-BE49-F238E27FC236}">
              <a16:creationId xmlns:a16="http://schemas.microsoft.com/office/drawing/2014/main" id="{BAA3520A-50F3-01FB-D39D-55A80E8A8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15965488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47</xdr:row>
      <xdr:rowOff>39688</xdr:rowOff>
    </xdr:from>
    <xdr:to>
      <xdr:col>171</xdr:col>
      <xdr:colOff>460375</xdr:colOff>
      <xdr:row>47</xdr:row>
      <xdr:rowOff>293688</xdr:rowOff>
    </xdr:to>
    <xdr:pic>
      <xdr:nvPicPr>
        <xdr:cNvPr id="2271" name="Picture 2270">
          <a:extLst>
            <a:ext uri="{FF2B5EF4-FFF2-40B4-BE49-F238E27FC236}">
              <a16:creationId xmlns:a16="http://schemas.microsoft.com/office/drawing/2014/main" id="{210AF70A-0606-5301-CE72-10608BB7B4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15965488"/>
          <a:ext cx="254000" cy="254000"/>
        </a:xfrm>
        <a:prstGeom prst="rect">
          <a:avLst/>
        </a:prstGeom>
      </xdr:spPr>
    </xdr:pic>
    <xdr:clientData/>
  </xdr:twoCellAnchor>
  <xdr:twoCellAnchor>
    <xdr:from>
      <xdr:col>219</xdr:col>
      <xdr:colOff>206375</xdr:colOff>
      <xdr:row>47</xdr:row>
      <xdr:rowOff>39688</xdr:rowOff>
    </xdr:from>
    <xdr:to>
      <xdr:col>219</xdr:col>
      <xdr:colOff>460375</xdr:colOff>
      <xdr:row>47</xdr:row>
      <xdr:rowOff>293688</xdr:rowOff>
    </xdr:to>
    <xdr:pic>
      <xdr:nvPicPr>
        <xdr:cNvPr id="2274" name="Picture 2273">
          <a:extLst>
            <a:ext uri="{FF2B5EF4-FFF2-40B4-BE49-F238E27FC236}">
              <a16:creationId xmlns:a16="http://schemas.microsoft.com/office/drawing/2014/main" id="{A04A36E1-3601-A437-46A4-DEF19D26D8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37400" y="15965488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206375</xdr:colOff>
      <xdr:row>47</xdr:row>
      <xdr:rowOff>39688</xdr:rowOff>
    </xdr:from>
    <xdr:to>
      <xdr:col>231</xdr:col>
      <xdr:colOff>460375</xdr:colOff>
      <xdr:row>47</xdr:row>
      <xdr:rowOff>293688</xdr:rowOff>
    </xdr:to>
    <xdr:pic>
      <xdr:nvPicPr>
        <xdr:cNvPr id="2277" name="Picture 2276">
          <a:extLst>
            <a:ext uri="{FF2B5EF4-FFF2-40B4-BE49-F238E27FC236}">
              <a16:creationId xmlns:a16="http://schemas.microsoft.com/office/drawing/2014/main" id="{CC27D811-7A78-59CC-7288-445CD23D21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04975" y="15965488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47</xdr:row>
      <xdr:rowOff>39688</xdr:rowOff>
    </xdr:from>
    <xdr:to>
      <xdr:col>111</xdr:col>
      <xdr:colOff>460375</xdr:colOff>
      <xdr:row>47</xdr:row>
      <xdr:rowOff>293688</xdr:rowOff>
    </xdr:to>
    <xdr:pic>
      <xdr:nvPicPr>
        <xdr:cNvPr id="2280" name="Picture 2279">
          <a:extLst>
            <a:ext uri="{FF2B5EF4-FFF2-40B4-BE49-F238E27FC236}">
              <a16:creationId xmlns:a16="http://schemas.microsoft.com/office/drawing/2014/main" id="{767FE6A2-E688-9C59-F187-3AE2ABF8F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15965488"/>
          <a:ext cx="254000" cy="254000"/>
        </a:xfrm>
        <a:prstGeom prst="rect">
          <a:avLst/>
        </a:prstGeom>
      </xdr:spPr>
    </xdr:pic>
    <xdr:clientData/>
  </xdr:twoCellAnchor>
  <xdr:twoCellAnchor>
    <xdr:from>
      <xdr:col>51</xdr:col>
      <xdr:colOff>206375</xdr:colOff>
      <xdr:row>48</xdr:row>
      <xdr:rowOff>39688</xdr:rowOff>
    </xdr:from>
    <xdr:to>
      <xdr:col>51</xdr:col>
      <xdr:colOff>460375</xdr:colOff>
      <xdr:row>48</xdr:row>
      <xdr:rowOff>293688</xdr:rowOff>
    </xdr:to>
    <xdr:pic>
      <xdr:nvPicPr>
        <xdr:cNvPr id="2283" name="Picture 2282">
          <a:extLst>
            <a:ext uri="{FF2B5EF4-FFF2-40B4-BE49-F238E27FC236}">
              <a16:creationId xmlns:a16="http://schemas.microsoft.com/office/drawing/2014/main" id="{F186D47E-9887-312B-98ED-5BCF38B8DD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1825" y="16298863"/>
          <a:ext cx="254000" cy="254000"/>
        </a:xfrm>
        <a:prstGeom prst="rect">
          <a:avLst/>
        </a:prstGeom>
      </xdr:spPr>
    </xdr:pic>
    <xdr:clientData/>
  </xdr:twoCellAnchor>
  <xdr:twoCellAnchor>
    <xdr:from>
      <xdr:col>159</xdr:col>
      <xdr:colOff>206375</xdr:colOff>
      <xdr:row>48</xdr:row>
      <xdr:rowOff>39688</xdr:rowOff>
    </xdr:from>
    <xdr:to>
      <xdr:col>159</xdr:col>
      <xdr:colOff>460375</xdr:colOff>
      <xdr:row>48</xdr:row>
      <xdr:rowOff>293688</xdr:rowOff>
    </xdr:to>
    <xdr:pic>
      <xdr:nvPicPr>
        <xdr:cNvPr id="2286" name="Picture 2285">
          <a:extLst>
            <a:ext uri="{FF2B5EF4-FFF2-40B4-BE49-F238E27FC236}">
              <a16:creationId xmlns:a16="http://schemas.microsoft.com/office/drawing/2014/main" id="{D5E9FEA7-15DC-89CE-1CBB-85AE940537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9525" y="16298863"/>
          <a:ext cx="254000" cy="254000"/>
        </a:xfrm>
        <a:prstGeom prst="rect">
          <a:avLst/>
        </a:prstGeom>
      </xdr:spPr>
    </xdr:pic>
    <xdr:clientData/>
  </xdr:twoCellAnchor>
  <xdr:twoCellAnchor>
    <xdr:from>
      <xdr:col>63</xdr:col>
      <xdr:colOff>206375</xdr:colOff>
      <xdr:row>48</xdr:row>
      <xdr:rowOff>39688</xdr:rowOff>
    </xdr:from>
    <xdr:to>
      <xdr:col>63</xdr:col>
      <xdr:colOff>460375</xdr:colOff>
      <xdr:row>48</xdr:row>
      <xdr:rowOff>293688</xdr:rowOff>
    </xdr:to>
    <xdr:pic>
      <xdr:nvPicPr>
        <xdr:cNvPr id="2289" name="Picture 2288">
          <a:extLst>
            <a:ext uri="{FF2B5EF4-FFF2-40B4-BE49-F238E27FC236}">
              <a16:creationId xmlns:a16="http://schemas.microsoft.com/office/drawing/2014/main" id="{36C621C2-E026-8510-1C7E-BDCD729810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58925" y="16298863"/>
          <a:ext cx="254000" cy="254000"/>
        </a:xfrm>
        <a:prstGeom prst="rect">
          <a:avLst/>
        </a:prstGeom>
      </xdr:spPr>
    </xdr:pic>
    <xdr:clientData/>
  </xdr:twoCellAnchor>
  <xdr:twoCellAnchor>
    <xdr:from>
      <xdr:col>231</xdr:col>
      <xdr:colOff>223131</xdr:colOff>
      <xdr:row>48</xdr:row>
      <xdr:rowOff>39688</xdr:rowOff>
    </xdr:from>
    <xdr:to>
      <xdr:col>231</xdr:col>
      <xdr:colOff>443617</xdr:colOff>
      <xdr:row>48</xdr:row>
      <xdr:rowOff>293688</xdr:rowOff>
    </xdr:to>
    <xdr:pic>
      <xdr:nvPicPr>
        <xdr:cNvPr id="2292" name="Picture 2291">
          <a:extLst>
            <a:ext uri="{FF2B5EF4-FFF2-40B4-BE49-F238E27FC236}">
              <a16:creationId xmlns:a16="http://schemas.microsoft.com/office/drawing/2014/main" id="{DE508C51-7E4A-6B92-412F-6CD7E1F22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21731" y="16298863"/>
          <a:ext cx="220486" cy="254000"/>
        </a:xfrm>
        <a:prstGeom prst="rect">
          <a:avLst/>
        </a:prstGeom>
      </xdr:spPr>
    </xdr:pic>
    <xdr:clientData/>
  </xdr:twoCellAnchor>
  <xdr:twoCellAnchor>
    <xdr:from>
      <xdr:col>87</xdr:col>
      <xdr:colOff>206375</xdr:colOff>
      <xdr:row>48</xdr:row>
      <xdr:rowOff>39688</xdr:rowOff>
    </xdr:from>
    <xdr:to>
      <xdr:col>87</xdr:col>
      <xdr:colOff>460375</xdr:colOff>
      <xdr:row>48</xdr:row>
      <xdr:rowOff>293688</xdr:rowOff>
    </xdr:to>
    <xdr:pic>
      <xdr:nvPicPr>
        <xdr:cNvPr id="2295" name="Picture 2294">
          <a:extLst>
            <a:ext uri="{FF2B5EF4-FFF2-40B4-BE49-F238E27FC236}">
              <a16:creationId xmlns:a16="http://schemas.microsoft.com/office/drawing/2014/main" id="{C2E218D4-07EC-6E5F-D1B1-A205AD965C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4075" y="16298863"/>
          <a:ext cx="254000" cy="254000"/>
        </a:xfrm>
        <a:prstGeom prst="rect">
          <a:avLst/>
        </a:prstGeom>
      </xdr:spPr>
    </xdr:pic>
    <xdr:clientData/>
  </xdr:twoCellAnchor>
  <xdr:twoCellAnchor>
    <xdr:from>
      <xdr:col>3</xdr:col>
      <xdr:colOff>206375</xdr:colOff>
      <xdr:row>48</xdr:row>
      <xdr:rowOff>39688</xdr:rowOff>
    </xdr:from>
    <xdr:to>
      <xdr:col>3</xdr:col>
      <xdr:colOff>460375</xdr:colOff>
      <xdr:row>48</xdr:row>
      <xdr:rowOff>293688</xdr:rowOff>
    </xdr:to>
    <xdr:pic>
      <xdr:nvPicPr>
        <xdr:cNvPr id="2298" name="Picture 2297">
          <a:extLst>
            <a:ext uri="{FF2B5EF4-FFF2-40B4-BE49-F238E27FC236}">
              <a16:creationId xmlns:a16="http://schemas.microsoft.com/office/drawing/2014/main" id="{24157250-CB16-C139-3EE9-2AFEC140D6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025" y="16298863"/>
          <a:ext cx="254000" cy="254000"/>
        </a:xfrm>
        <a:prstGeom prst="rect">
          <a:avLst/>
        </a:prstGeom>
      </xdr:spPr>
    </xdr:pic>
    <xdr:clientData/>
  </xdr:twoCellAnchor>
  <xdr:twoCellAnchor>
    <xdr:from>
      <xdr:col>111</xdr:col>
      <xdr:colOff>206375</xdr:colOff>
      <xdr:row>48</xdr:row>
      <xdr:rowOff>39688</xdr:rowOff>
    </xdr:from>
    <xdr:to>
      <xdr:col>111</xdr:col>
      <xdr:colOff>460375</xdr:colOff>
      <xdr:row>48</xdr:row>
      <xdr:rowOff>293688</xdr:rowOff>
    </xdr:to>
    <xdr:pic>
      <xdr:nvPicPr>
        <xdr:cNvPr id="2301" name="Picture 2300">
          <a:extLst>
            <a:ext uri="{FF2B5EF4-FFF2-40B4-BE49-F238E27FC236}">
              <a16:creationId xmlns:a16="http://schemas.microsoft.com/office/drawing/2014/main" id="{AD499D3F-C877-0C47-01AF-38358DCCE3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29225" y="16298863"/>
          <a:ext cx="254000" cy="254000"/>
        </a:xfrm>
        <a:prstGeom prst="rect">
          <a:avLst/>
        </a:prstGeom>
      </xdr:spPr>
    </xdr:pic>
    <xdr:clientData/>
  </xdr:twoCellAnchor>
  <xdr:twoCellAnchor>
    <xdr:from>
      <xdr:col>171</xdr:col>
      <xdr:colOff>206375</xdr:colOff>
      <xdr:row>48</xdr:row>
      <xdr:rowOff>39688</xdr:rowOff>
    </xdr:from>
    <xdr:to>
      <xdr:col>171</xdr:col>
      <xdr:colOff>460375</xdr:colOff>
      <xdr:row>48</xdr:row>
      <xdr:rowOff>293688</xdr:rowOff>
    </xdr:to>
    <xdr:pic>
      <xdr:nvPicPr>
        <xdr:cNvPr id="2304" name="Picture 2303">
          <a:extLst>
            <a:ext uri="{FF2B5EF4-FFF2-40B4-BE49-F238E27FC236}">
              <a16:creationId xmlns:a16="http://schemas.microsoft.com/office/drawing/2014/main" id="{439E03D8-7FE4-DA1A-E975-5423046B4B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067100" y="16298863"/>
          <a:ext cx="254000" cy="254000"/>
        </a:xfrm>
        <a:prstGeom prst="rect">
          <a:avLst/>
        </a:prstGeom>
      </xdr:spPr>
    </xdr:pic>
    <xdr:clientData/>
  </xdr:twoCellAnchor>
  <xdr:twoCellAnchor>
    <xdr:from>
      <xdr:col>135</xdr:col>
      <xdr:colOff>206375</xdr:colOff>
      <xdr:row>48</xdr:row>
      <xdr:rowOff>39688</xdr:rowOff>
    </xdr:from>
    <xdr:to>
      <xdr:col>135</xdr:col>
      <xdr:colOff>460375</xdr:colOff>
      <xdr:row>48</xdr:row>
      <xdr:rowOff>293688</xdr:rowOff>
    </xdr:to>
    <xdr:pic>
      <xdr:nvPicPr>
        <xdr:cNvPr id="2307" name="Picture 2306">
          <a:extLst>
            <a:ext uri="{FF2B5EF4-FFF2-40B4-BE49-F238E27FC236}">
              <a16:creationId xmlns:a16="http://schemas.microsoft.com/office/drawing/2014/main" id="{8CA4BEA5-F74C-02F9-2ECC-7C50904E5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64375" y="16298863"/>
          <a:ext cx="254000" cy="254000"/>
        </a:xfrm>
        <a:prstGeom prst="rect">
          <a:avLst/>
        </a:prstGeom>
      </xdr:spPr>
    </xdr:pic>
    <xdr:clientData/>
  </xdr:twoCellAnchor>
  <xdr:twoCellAnchor>
    <xdr:from>
      <xdr:col>39</xdr:col>
      <xdr:colOff>263525</xdr:colOff>
      <xdr:row>48</xdr:row>
      <xdr:rowOff>39688</xdr:rowOff>
    </xdr:from>
    <xdr:to>
      <xdr:col>39</xdr:col>
      <xdr:colOff>403225</xdr:colOff>
      <xdr:row>48</xdr:row>
      <xdr:rowOff>293688</xdr:rowOff>
    </xdr:to>
    <xdr:pic>
      <xdr:nvPicPr>
        <xdr:cNvPr id="2310" name="Picture 2309">
          <a:extLst>
            <a:ext uri="{FF2B5EF4-FFF2-40B4-BE49-F238E27FC236}">
              <a16:creationId xmlns:a16="http://schemas.microsoft.com/office/drawing/2014/main" id="{1C1660D1-4881-EDCE-2518-1049198EC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61875" y="16298863"/>
          <a:ext cx="139700" cy="254000"/>
        </a:xfrm>
        <a:prstGeom prst="rect">
          <a:avLst/>
        </a:prstGeom>
      </xdr:spPr>
    </xdr:pic>
    <xdr:clientData/>
  </xdr:twoCellAnchor>
  <xdr:twoCellAnchor>
    <xdr:from>
      <xdr:col>147</xdr:col>
      <xdr:colOff>206375</xdr:colOff>
      <xdr:row>48</xdr:row>
      <xdr:rowOff>39688</xdr:rowOff>
    </xdr:from>
    <xdr:to>
      <xdr:col>147</xdr:col>
      <xdr:colOff>460375</xdr:colOff>
      <xdr:row>48</xdr:row>
      <xdr:rowOff>293688</xdr:rowOff>
    </xdr:to>
    <xdr:pic>
      <xdr:nvPicPr>
        <xdr:cNvPr id="2313" name="Picture 2312">
          <a:extLst>
            <a:ext uri="{FF2B5EF4-FFF2-40B4-BE49-F238E27FC236}">
              <a16:creationId xmlns:a16="http://schemas.microsoft.com/office/drawing/2014/main" id="{03101F75-6E3B-F086-3665-23B11857DB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31950" y="16298863"/>
          <a:ext cx="254000" cy="254000"/>
        </a:xfrm>
        <a:prstGeom prst="rect">
          <a:avLst/>
        </a:prstGeom>
      </xdr:spPr>
    </xdr:pic>
    <xdr:clientData/>
  </xdr:twoCellAnchor>
  <xdr:twoCellAnchor>
    <xdr:from>
      <xdr:col>15</xdr:col>
      <xdr:colOff>206375</xdr:colOff>
      <xdr:row>48</xdr:row>
      <xdr:rowOff>39688</xdr:rowOff>
    </xdr:from>
    <xdr:to>
      <xdr:col>15</xdr:col>
      <xdr:colOff>460375</xdr:colOff>
      <xdr:row>48</xdr:row>
      <xdr:rowOff>293688</xdr:rowOff>
    </xdr:to>
    <xdr:pic>
      <xdr:nvPicPr>
        <xdr:cNvPr id="2316" name="Picture 2315">
          <a:extLst>
            <a:ext uri="{FF2B5EF4-FFF2-40B4-BE49-F238E27FC236}">
              <a16:creationId xmlns:a16="http://schemas.microsoft.com/office/drawing/2014/main" id="{F22601C2-6C47-E6EF-7FFA-A84162DA53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9575" y="16298863"/>
          <a:ext cx="254000" cy="254000"/>
        </a:xfrm>
        <a:prstGeom prst="rect">
          <a:avLst/>
        </a:prstGeom>
      </xdr:spPr>
    </xdr:pic>
    <xdr:clientData/>
  </xdr:twoCellAnchor>
  <xdr:twoCellAnchor>
    <xdr:from>
      <xdr:col>183</xdr:col>
      <xdr:colOff>206375</xdr:colOff>
      <xdr:row>48</xdr:row>
      <xdr:rowOff>39688</xdr:rowOff>
    </xdr:from>
    <xdr:to>
      <xdr:col>183</xdr:col>
      <xdr:colOff>460375</xdr:colOff>
      <xdr:row>48</xdr:row>
      <xdr:rowOff>293688</xdr:rowOff>
    </xdr:to>
    <xdr:pic>
      <xdr:nvPicPr>
        <xdr:cNvPr id="2319" name="Picture 2318">
          <a:extLst>
            <a:ext uri="{FF2B5EF4-FFF2-40B4-BE49-F238E27FC236}">
              <a16:creationId xmlns:a16="http://schemas.microsoft.com/office/drawing/2014/main" id="{ED04337C-2B70-CE6F-CCC7-43E9B1A65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334675" y="16298863"/>
          <a:ext cx="254000" cy="254000"/>
        </a:xfrm>
        <a:prstGeom prst="rect">
          <a:avLst/>
        </a:prstGeom>
      </xdr:spPr>
    </xdr:pic>
    <xdr:clientData/>
  </xdr:twoCellAnchor>
  <xdr:twoCellAnchor>
    <xdr:from>
      <xdr:col>27</xdr:col>
      <xdr:colOff>206375</xdr:colOff>
      <xdr:row>48</xdr:row>
      <xdr:rowOff>39688</xdr:rowOff>
    </xdr:from>
    <xdr:to>
      <xdr:col>27</xdr:col>
      <xdr:colOff>460375</xdr:colOff>
      <xdr:row>48</xdr:row>
      <xdr:rowOff>293688</xdr:rowOff>
    </xdr:to>
    <xdr:pic>
      <xdr:nvPicPr>
        <xdr:cNvPr id="2322" name="Picture 2321">
          <a:extLst>
            <a:ext uri="{FF2B5EF4-FFF2-40B4-BE49-F238E27FC236}">
              <a16:creationId xmlns:a16="http://schemas.microsoft.com/office/drawing/2014/main" id="{424BB81E-DE04-94CD-C4AD-C693E7EDD5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46675" y="16298863"/>
          <a:ext cx="254000" cy="254000"/>
        </a:xfrm>
        <a:prstGeom prst="rect">
          <a:avLst/>
        </a:prstGeom>
      </xdr:spPr>
    </xdr:pic>
    <xdr:clientData/>
  </xdr:twoCellAnchor>
  <xdr:twoCellAnchor>
    <xdr:from>
      <xdr:col>195</xdr:col>
      <xdr:colOff>206375</xdr:colOff>
      <xdr:row>48</xdr:row>
      <xdr:rowOff>39688</xdr:rowOff>
    </xdr:from>
    <xdr:to>
      <xdr:col>195</xdr:col>
      <xdr:colOff>460375</xdr:colOff>
      <xdr:row>48</xdr:row>
      <xdr:rowOff>293688</xdr:rowOff>
    </xdr:to>
    <xdr:pic>
      <xdr:nvPicPr>
        <xdr:cNvPr id="2325" name="Picture 2324">
          <a:extLst>
            <a:ext uri="{FF2B5EF4-FFF2-40B4-BE49-F238E27FC236}">
              <a16:creationId xmlns:a16="http://schemas.microsoft.com/office/drawing/2014/main" id="{D8CF3D1C-0F17-CB97-D3BB-82096EA17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602250" y="16298863"/>
          <a:ext cx="254000" cy="254000"/>
        </a:xfrm>
        <a:prstGeom prst="rect">
          <a:avLst/>
        </a:prstGeom>
      </xdr:spPr>
    </xdr:pic>
    <xdr:clientData/>
  </xdr:twoCellAnchor>
  <xdr:twoCellAnchor>
    <xdr:from>
      <xdr:col>99</xdr:col>
      <xdr:colOff>206375</xdr:colOff>
      <xdr:row>48</xdr:row>
      <xdr:rowOff>39688</xdr:rowOff>
    </xdr:from>
    <xdr:to>
      <xdr:col>99</xdr:col>
      <xdr:colOff>460375</xdr:colOff>
      <xdr:row>48</xdr:row>
      <xdr:rowOff>293688</xdr:rowOff>
    </xdr:to>
    <xdr:pic>
      <xdr:nvPicPr>
        <xdr:cNvPr id="2328" name="Picture 2327">
          <a:extLst>
            <a:ext uri="{FF2B5EF4-FFF2-40B4-BE49-F238E27FC236}">
              <a16:creationId xmlns:a16="http://schemas.microsoft.com/office/drawing/2014/main" id="{0965E5DD-0DF0-4126-326C-A35EDFCAB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61650" y="16298863"/>
          <a:ext cx="254000" cy="254000"/>
        </a:xfrm>
        <a:prstGeom prst="rect">
          <a:avLst/>
        </a:prstGeom>
      </xdr:spPr>
    </xdr:pic>
    <xdr:clientData/>
  </xdr:twoCellAnchor>
  <xdr:twoCellAnchor>
    <xdr:from>
      <xdr:col>207</xdr:col>
      <xdr:colOff>206375</xdr:colOff>
      <xdr:row>48</xdr:row>
      <xdr:rowOff>39688</xdr:rowOff>
    </xdr:from>
    <xdr:to>
      <xdr:col>207</xdr:col>
      <xdr:colOff>460375</xdr:colOff>
      <xdr:row>48</xdr:row>
      <xdr:rowOff>293688</xdr:rowOff>
    </xdr:to>
    <xdr:pic>
      <xdr:nvPicPr>
        <xdr:cNvPr id="2331" name="Picture 2330">
          <a:extLst>
            <a:ext uri="{FF2B5EF4-FFF2-40B4-BE49-F238E27FC236}">
              <a16:creationId xmlns:a16="http://schemas.microsoft.com/office/drawing/2014/main" id="{A83F77E0-0970-3DBC-350B-39E73EFC61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869825" y="16298863"/>
          <a:ext cx="254000" cy="254000"/>
        </a:xfrm>
        <a:prstGeom prst="rect">
          <a:avLst/>
        </a:prstGeom>
      </xdr:spPr>
    </xdr:pic>
    <xdr:clientData/>
  </xdr:twoCellAnchor>
  <xdr:twoCellAnchor>
    <xdr:from>
      <xdr:col>75</xdr:col>
      <xdr:colOff>181208</xdr:colOff>
      <xdr:row>48</xdr:row>
      <xdr:rowOff>39688</xdr:rowOff>
    </xdr:from>
    <xdr:to>
      <xdr:col>75</xdr:col>
      <xdr:colOff>485540</xdr:colOff>
      <xdr:row>48</xdr:row>
      <xdr:rowOff>293688</xdr:rowOff>
    </xdr:to>
    <xdr:pic>
      <xdr:nvPicPr>
        <xdr:cNvPr id="2334" name="Picture 2333">
          <a:extLst>
            <a:ext uri="{FF2B5EF4-FFF2-40B4-BE49-F238E27FC236}">
              <a16:creationId xmlns:a16="http://schemas.microsoft.com/office/drawing/2014/main" id="{B4CAAFF8-BB7F-42E2-E21E-ED317BA9C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01333" y="16298863"/>
          <a:ext cx="304332" cy="254000"/>
        </a:xfrm>
        <a:prstGeom prst="rect">
          <a:avLst/>
        </a:prstGeom>
      </xdr:spPr>
    </xdr:pic>
    <xdr:clientData/>
  </xdr:twoCellAnchor>
  <xdr:twoCellAnchor>
    <xdr:from>
      <xdr:col>219</xdr:col>
      <xdr:colOff>230001</xdr:colOff>
      <xdr:row>48</xdr:row>
      <xdr:rowOff>39688</xdr:rowOff>
    </xdr:from>
    <xdr:to>
      <xdr:col>219</xdr:col>
      <xdr:colOff>436745</xdr:colOff>
      <xdr:row>48</xdr:row>
      <xdr:rowOff>293688</xdr:rowOff>
    </xdr:to>
    <xdr:pic>
      <xdr:nvPicPr>
        <xdr:cNvPr id="2337" name="Picture 2336">
          <a:extLst>
            <a:ext uri="{FF2B5EF4-FFF2-40B4-BE49-F238E27FC236}">
              <a16:creationId xmlns:a16="http://schemas.microsoft.com/office/drawing/2014/main" id="{B61AE95B-D22D-962E-CFB0-4A1FA07601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161026" y="16298863"/>
          <a:ext cx="206744" cy="254000"/>
        </a:xfrm>
        <a:prstGeom prst="rect">
          <a:avLst/>
        </a:prstGeom>
      </xdr:spPr>
    </xdr:pic>
    <xdr:clientData/>
  </xdr:twoCellAnchor>
  <xdr:twoCellAnchor>
    <xdr:from>
      <xdr:col>123</xdr:col>
      <xdr:colOff>206375</xdr:colOff>
      <xdr:row>48</xdr:row>
      <xdr:rowOff>39688</xdr:rowOff>
    </xdr:from>
    <xdr:to>
      <xdr:col>123</xdr:col>
      <xdr:colOff>460375</xdr:colOff>
      <xdr:row>48</xdr:row>
      <xdr:rowOff>293688</xdr:rowOff>
    </xdr:to>
    <xdr:pic>
      <xdr:nvPicPr>
        <xdr:cNvPr id="2340" name="Picture 2339">
          <a:extLst>
            <a:ext uri="{FF2B5EF4-FFF2-40B4-BE49-F238E27FC236}">
              <a16:creationId xmlns:a16="http://schemas.microsoft.com/office/drawing/2014/main" id="{B38C5C9F-6B55-279D-B5DD-5A767D69A8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96800" y="16298863"/>
          <a:ext cx="254000" cy="254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115888</xdr:colOff>
      <xdr:row>2</xdr:row>
      <xdr:rowOff>39688</xdr:rowOff>
    </xdr:from>
    <xdr:to>
      <xdr:col>2</xdr:col>
      <xdr:colOff>255588</xdr:colOff>
      <xdr:row>2</xdr:row>
      <xdr:rowOff>293688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2D1D7EE-463E-3378-A73F-0360D15CCE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3913" y="773113"/>
          <a:ext cx="1397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</xdr:row>
      <xdr:rowOff>39688</xdr:rowOff>
    </xdr:from>
    <xdr:to>
      <xdr:col>6</xdr:col>
      <xdr:colOff>346075</xdr:colOff>
      <xdr:row>2</xdr:row>
      <xdr:rowOff>293688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DED2CCA-818D-CCBF-C9D6-2FF00F48D5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731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</xdr:row>
      <xdr:rowOff>39688</xdr:rowOff>
    </xdr:from>
    <xdr:to>
      <xdr:col>2</xdr:col>
      <xdr:colOff>312738</xdr:colOff>
      <xdr:row>4</xdr:row>
      <xdr:rowOff>293688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EFD57241-50B2-90B2-53AE-5AC3D8AEF4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398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</xdr:row>
      <xdr:rowOff>39688</xdr:rowOff>
    </xdr:from>
    <xdr:to>
      <xdr:col>6</xdr:col>
      <xdr:colOff>346075</xdr:colOff>
      <xdr:row>4</xdr:row>
      <xdr:rowOff>293688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BB5023E6-31E5-C365-63C1-30FBFEA0BD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398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5</xdr:row>
      <xdr:rowOff>39688</xdr:rowOff>
    </xdr:from>
    <xdr:to>
      <xdr:col>2</xdr:col>
      <xdr:colOff>312738</xdr:colOff>
      <xdr:row>5</xdr:row>
      <xdr:rowOff>293688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D7943564-3762-F62D-15B8-1E08323DE8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7732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5</xdr:row>
      <xdr:rowOff>39688</xdr:rowOff>
    </xdr:from>
    <xdr:to>
      <xdr:col>6</xdr:col>
      <xdr:colOff>346075</xdr:colOff>
      <xdr:row>5</xdr:row>
      <xdr:rowOff>293688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FA912ED7-703D-4773-0FAF-1091C1683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7732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6</xdr:row>
      <xdr:rowOff>39688</xdr:rowOff>
    </xdr:from>
    <xdr:to>
      <xdr:col>2</xdr:col>
      <xdr:colOff>312738</xdr:colOff>
      <xdr:row>6</xdr:row>
      <xdr:rowOff>293688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F2331C8F-BDE3-6512-632C-C2E5A87FD9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21066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108832</xdr:colOff>
      <xdr:row>6</xdr:row>
      <xdr:rowOff>39688</xdr:rowOff>
    </xdr:from>
    <xdr:to>
      <xdr:col>6</xdr:col>
      <xdr:colOff>329318</xdr:colOff>
      <xdr:row>6</xdr:row>
      <xdr:rowOff>293688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8E74E1BF-65A4-B855-E085-9F65108FD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6057" y="2106613"/>
          <a:ext cx="220486" cy="254000"/>
        </a:xfrm>
        <a:prstGeom prst="rect">
          <a:avLst/>
        </a:prstGeom>
      </xdr:spPr>
    </xdr:pic>
    <xdr:clientData/>
  </xdr:twoCellAnchor>
  <xdr:twoCellAnchor>
    <xdr:from>
      <xdr:col>2</xdr:col>
      <xdr:colOff>33572</xdr:colOff>
      <xdr:row>7</xdr:row>
      <xdr:rowOff>39688</xdr:rowOff>
    </xdr:from>
    <xdr:to>
      <xdr:col>2</xdr:col>
      <xdr:colOff>337904</xdr:colOff>
      <xdr:row>7</xdr:row>
      <xdr:rowOff>293688</xdr:rowOff>
    </xdr:to>
    <xdr:pic>
      <xdr:nvPicPr>
        <xdr:cNvPr id="28" name="Picture 27">
          <a:extLst>
            <a:ext uri="{FF2B5EF4-FFF2-40B4-BE49-F238E27FC236}">
              <a16:creationId xmlns:a16="http://schemas.microsoft.com/office/drawing/2014/main" id="{07F347A4-3A02-389B-BF97-F840930CD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597" y="2439988"/>
          <a:ext cx="304332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7</xdr:row>
      <xdr:rowOff>39688</xdr:rowOff>
    </xdr:from>
    <xdr:to>
      <xdr:col>6</xdr:col>
      <xdr:colOff>346075</xdr:colOff>
      <xdr:row>7</xdr:row>
      <xdr:rowOff>293688</xdr:rowOff>
    </xdr:to>
    <xdr:pic>
      <xdr:nvPicPr>
        <xdr:cNvPr id="31" name="Picture 30">
          <a:extLst>
            <a:ext uri="{FF2B5EF4-FFF2-40B4-BE49-F238E27FC236}">
              <a16:creationId xmlns:a16="http://schemas.microsoft.com/office/drawing/2014/main" id="{14879D59-FF8B-58E5-F1DD-C3B0B2FDEF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24399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8</xdr:row>
      <xdr:rowOff>39688</xdr:rowOff>
    </xdr:from>
    <xdr:to>
      <xdr:col>2</xdr:col>
      <xdr:colOff>312738</xdr:colOff>
      <xdr:row>8</xdr:row>
      <xdr:rowOff>293688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59660C09-59A8-265E-CE8E-038B7DDB76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27733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8</xdr:row>
      <xdr:rowOff>39688</xdr:rowOff>
    </xdr:from>
    <xdr:to>
      <xdr:col>6</xdr:col>
      <xdr:colOff>346075</xdr:colOff>
      <xdr:row>8</xdr:row>
      <xdr:rowOff>293688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24019E28-60E8-BF59-B8CE-010DE33989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27733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10</xdr:row>
      <xdr:rowOff>39688</xdr:rowOff>
    </xdr:from>
    <xdr:to>
      <xdr:col>2</xdr:col>
      <xdr:colOff>312738</xdr:colOff>
      <xdr:row>10</xdr:row>
      <xdr:rowOff>293688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4A647710-0FBE-7531-CA95-EFB819791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34401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10</xdr:row>
      <xdr:rowOff>39688</xdr:rowOff>
    </xdr:from>
    <xdr:to>
      <xdr:col>6</xdr:col>
      <xdr:colOff>346075</xdr:colOff>
      <xdr:row>10</xdr:row>
      <xdr:rowOff>293688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A0E66912-1636-F6D1-73DF-8ADAD04B4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34401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11</xdr:row>
      <xdr:rowOff>39688</xdr:rowOff>
    </xdr:from>
    <xdr:to>
      <xdr:col>2</xdr:col>
      <xdr:colOff>312738</xdr:colOff>
      <xdr:row>11</xdr:row>
      <xdr:rowOff>293688</xdr:rowOff>
    </xdr:to>
    <xdr:pic>
      <xdr:nvPicPr>
        <xdr:cNvPr id="46" name="Picture 45">
          <a:extLst>
            <a:ext uri="{FF2B5EF4-FFF2-40B4-BE49-F238E27FC236}">
              <a16:creationId xmlns:a16="http://schemas.microsoft.com/office/drawing/2014/main" id="{94B7220E-C174-EB75-CDF1-C5E3ED91C0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37734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11</xdr:row>
      <xdr:rowOff>39688</xdr:rowOff>
    </xdr:from>
    <xdr:to>
      <xdr:col>6</xdr:col>
      <xdr:colOff>346075</xdr:colOff>
      <xdr:row>11</xdr:row>
      <xdr:rowOff>293688</xdr:rowOff>
    </xdr:to>
    <xdr:pic>
      <xdr:nvPicPr>
        <xdr:cNvPr id="49" name="Picture 48">
          <a:extLst>
            <a:ext uri="{FF2B5EF4-FFF2-40B4-BE49-F238E27FC236}">
              <a16:creationId xmlns:a16="http://schemas.microsoft.com/office/drawing/2014/main" id="{5104BC60-E926-ACB4-0C34-5EA5C66B3D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37734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12</xdr:row>
      <xdr:rowOff>39688</xdr:rowOff>
    </xdr:from>
    <xdr:to>
      <xdr:col>2</xdr:col>
      <xdr:colOff>312738</xdr:colOff>
      <xdr:row>12</xdr:row>
      <xdr:rowOff>293688</xdr:rowOff>
    </xdr:to>
    <xdr:pic>
      <xdr:nvPicPr>
        <xdr:cNvPr id="52" name="Picture 51">
          <a:extLst>
            <a:ext uri="{FF2B5EF4-FFF2-40B4-BE49-F238E27FC236}">
              <a16:creationId xmlns:a16="http://schemas.microsoft.com/office/drawing/2014/main" id="{206C2A0D-E1A9-CC55-DF7F-747FED3E1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1068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12</xdr:row>
      <xdr:rowOff>39688</xdr:rowOff>
    </xdr:from>
    <xdr:to>
      <xdr:col>6</xdr:col>
      <xdr:colOff>346075</xdr:colOff>
      <xdr:row>12</xdr:row>
      <xdr:rowOff>293688</xdr:rowOff>
    </xdr:to>
    <xdr:pic>
      <xdr:nvPicPr>
        <xdr:cNvPr id="55" name="Picture 54">
          <a:extLst>
            <a:ext uri="{FF2B5EF4-FFF2-40B4-BE49-F238E27FC236}">
              <a16:creationId xmlns:a16="http://schemas.microsoft.com/office/drawing/2014/main" id="{F6A5AF2D-842F-E0CA-BD2D-8EA47E0E0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1068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82366</xdr:colOff>
      <xdr:row>14</xdr:row>
      <xdr:rowOff>39688</xdr:rowOff>
    </xdr:from>
    <xdr:to>
      <xdr:col>2</xdr:col>
      <xdr:colOff>289110</xdr:colOff>
      <xdr:row>14</xdr:row>
      <xdr:rowOff>293688</xdr:rowOff>
    </xdr:to>
    <xdr:pic>
      <xdr:nvPicPr>
        <xdr:cNvPr id="58" name="Picture 57">
          <a:extLst>
            <a:ext uri="{FF2B5EF4-FFF2-40B4-BE49-F238E27FC236}">
              <a16:creationId xmlns:a16="http://schemas.microsoft.com/office/drawing/2014/main" id="{67AEAFAD-9D5D-3849-067B-80DD7E304A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391" y="4773613"/>
          <a:ext cx="206744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14</xdr:row>
      <xdr:rowOff>39688</xdr:rowOff>
    </xdr:from>
    <xdr:to>
      <xdr:col>6</xdr:col>
      <xdr:colOff>346075</xdr:colOff>
      <xdr:row>14</xdr:row>
      <xdr:rowOff>293688</xdr:rowOff>
    </xdr:to>
    <xdr:pic>
      <xdr:nvPicPr>
        <xdr:cNvPr id="61" name="Picture 60">
          <a:extLst>
            <a:ext uri="{FF2B5EF4-FFF2-40B4-BE49-F238E27FC236}">
              <a16:creationId xmlns:a16="http://schemas.microsoft.com/office/drawing/2014/main" id="{4B671B78-5AA9-B064-CA82-EE882973FA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7736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18</xdr:row>
      <xdr:rowOff>39688</xdr:rowOff>
    </xdr:from>
    <xdr:to>
      <xdr:col>2</xdr:col>
      <xdr:colOff>312738</xdr:colOff>
      <xdr:row>18</xdr:row>
      <xdr:rowOff>293688</xdr:rowOff>
    </xdr:to>
    <xdr:pic>
      <xdr:nvPicPr>
        <xdr:cNvPr id="55040" name="Picture 55039">
          <a:extLst>
            <a:ext uri="{FF2B5EF4-FFF2-40B4-BE49-F238E27FC236}">
              <a16:creationId xmlns:a16="http://schemas.microsoft.com/office/drawing/2014/main" id="{C5E9D492-CD28-0BF2-1710-C5BF39C46B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61737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18</xdr:row>
      <xdr:rowOff>39688</xdr:rowOff>
    </xdr:from>
    <xdr:to>
      <xdr:col>6</xdr:col>
      <xdr:colOff>346075</xdr:colOff>
      <xdr:row>18</xdr:row>
      <xdr:rowOff>293688</xdr:rowOff>
    </xdr:to>
    <xdr:pic>
      <xdr:nvPicPr>
        <xdr:cNvPr id="55043" name="Picture 55042">
          <a:extLst>
            <a:ext uri="{FF2B5EF4-FFF2-40B4-BE49-F238E27FC236}">
              <a16:creationId xmlns:a16="http://schemas.microsoft.com/office/drawing/2014/main" id="{28ABF4F9-06A1-D5FB-6618-908D855E9B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61737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20</xdr:row>
      <xdr:rowOff>39688</xdr:rowOff>
    </xdr:from>
    <xdr:to>
      <xdr:col>2</xdr:col>
      <xdr:colOff>312738</xdr:colOff>
      <xdr:row>20</xdr:row>
      <xdr:rowOff>293688</xdr:rowOff>
    </xdr:to>
    <xdr:pic>
      <xdr:nvPicPr>
        <xdr:cNvPr id="55046" name="Picture 55045">
          <a:extLst>
            <a:ext uri="{FF2B5EF4-FFF2-40B4-BE49-F238E27FC236}">
              <a16:creationId xmlns:a16="http://schemas.microsoft.com/office/drawing/2014/main" id="{9E890ABF-3A73-EAFB-E5B7-D89C5BA50E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68405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20</xdr:row>
      <xdr:rowOff>39688</xdr:rowOff>
    </xdr:from>
    <xdr:to>
      <xdr:col>6</xdr:col>
      <xdr:colOff>346075</xdr:colOff>
      <xdr:row>20</xdr:row>
      <xdr:rowOff>293688</xdr:rowOff>
    </xdr:to>
    <xdr:pic>
      <xdr:nvPicPr>
        <xdr:cNvPr id="55049" name="Picture 55048">
          <a:extLst>
            <a:ext uri="{FF2B5EF4-FFF2-40B4-BE49-F238E27FC236}">
              <a16:creationId xmlns:a16="http://schemas.microsoft.com/office/drawing/2014/main" id="{94A30790-233F-EA36-FF9F-8C405F83BC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68405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21</xdr:row>
      <xdr:rowOff>39688</xdr:rowOff>
    </xdr:from>
    <xdr:to>
      <xdr:col>2</xdr:col>
      <xdr:colOff>312738</xdr:colOff>
      <xdr:row>21</xdr:row>
      <xdr:rowOff>293688</xdr:rowOff>
    </xdr:to>
    <xdr:pic>
      <xdr:nvPicPr>
        <xdr:cNvPr id="55052" name="Picture 55051">
          <a:extLst>
            <a:ext uri="{FF2B5EF4-FFF2-40B4-BE49-F238E27FC236}">
              <a16:creationId xmlns:a16="http://schemas.microsoft.com/office/drawing/2014/main" id="{63C19C8A-007C-E822-4C02-FFB2C8EC9B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1739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21</xdr:row>
      <xdr:rowOff>39688</xdr:rowOff>
    </xdr:from>
    <xdr:to>
      <xdr:col>6</xdr:col>
      <xdr:colOff>346075</xdr:colOff>
      <xdr:row>21</xdr:row>
      <xdr:rowOff>293688</xdr:rowOff>
    </xdr:to>
    <xdr:pic>
      <xdr:nvPicPr>
        <xdr:cNvPr id="55055" name="Picture 55054">
          <a:extLst>
            <a:ext uri="{FF2B5EF4-FFF2-40B4-BE49-F238E27FC236}">
              <a16:creationId xmlns:a16="http://schemas.microsoft.com/office/drawing/2014/main" id="{1067DD0B-013E-0334-7206-C793BA97DC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1739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22</xdr:row>
      <xdr:rowOff>39688</xdr:rowOff>
    </xdr:from>
    <xdr:to>
      <xdr:col>2</xdr:col>
      <xdr:colOff>312738</xdr:colOff>
      <xdr:row>22</xdr:row>
      <xdr:rowOff>293688</xdr:rowOff>
    </xdr:to>
    <xdr:pic>
      <xdr:nvPicPr>
        <xdr:cNvPr id="55058" name="Picture 55057">
          <a:extLst>
            <a:ext uri="{FF2B5EF4-FFF2-40B4-BE49-F238E27FC236}">
              <a16:creationId xmlns:a16="http://schemas.microsoft.com/office/drawing/2014/main" id="{9D67A6DB-73FA-DD6E-2480-07204799B6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5072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22</xdr:row>
      <xdr:rowOff>39688</xdr:rowOff>
    </xdr:from>
    <xdr:to>
      <xdr:col>6</xdr:col>
      <xdr:colOff>346075</xdr:colOff>
      <xdr:row>22</xdr:row>
      <xdr:rowOff>293688</xdr:rowOff>
    </xdr:to>
    <xdr:pic>
      <xdr:nvPicPr>
        <xdr:cNvPr id="55061" name="Picture 55060">
          <a:extLst>
            <a:ext uri="{FF2B5EF4-FFF2-40B4-BE49-F238E27FC236}">
              <a16:creationId xmlns:a16="http://schemas.microsoft.com/office/drawing/2014/main" id="{7E2E4E99-487C-16A7-4260-CE3D2B8749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5072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75495</xdr:colOff>
      <xdr:row>23</xdr:row>
      <xdr:rowOff>39688</xdr:rowOff>
    </xdr:from>
    <xdr:to>
      <xdr:col>2</xdr:col>
      <xdr:colOff>295981</xdr:colOff>
      <xdr:row>23</xdr:row>
      <xdr:rowOff>293688</xdr:rowOff>
    </xdr:to>
    <xdr:pic>
      <xdr:nvPicPr>
        <xdr:cNvPr id="55064" name="Picture 55063">
          <a:extLst>
            <a:ext uri="{FF2B5EF4-FFF2-40B4-BE49-F238E27FC236}">
              <a16:creationId xmlns:a16="http://schemas.microsoft.com/office/drawing/2014/main" id="{888FB1AF-5D78-8467-740E-B527669553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520" y="7840663"/>
          <a:ext cx="220486" cy="254000"/>
        </a:xfrm>
        <a:prstGeom prst="rect">
          <a:avLst/>
        </a:prstGeom>
      </xdr:spPr>
    </xdr:pic>
    <xdr:clientData/>
  </xdr:twoCellAnchor>
  <xdr:twoCellAnchor>
    <xdr:from>
      <xdr:col>6</xdr:col>
      <xdr:colOff>66909</xdr:colOff>
      <xdr:row>23</xdr:row>
      <xdr:rowOff>39688</xdr:rowOff>
    </xdr:from>
    <xdr:to>
      <xdr:col>6</xdr:col>
      <xdr:colOff>371241</xdr:colOff>
      <xdr:row>23</xdr:row>
      <xdr:rowOff>293688</xdr:rowOff>
    </xdr:to>
    <xdr:pic>
      <xdr:nvPicPr>
        <xdr:cNvPr id="55067" name="Picture 55066">
          <a:extLst>
            <a:ext uri="{FF2B5EF4-FFF2-40B4-BE49-F238E27FC236}">
              <a16:creationId xmlns:a16="http://schemas.microsoft.com/office/drawing/2014/main" id="{B67F21CE-9D50-0D94-6950-59D42E2FB4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4134" y="7840663"/>
          <a:ext cx="304332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24</xdr:row>
      <xdr:rowOff>39688</xdr:rowOff>
    </xdr:from>
    <xdr:to>
      <xdr:col>2</xdr:col>
      <xdr:colOff>312738</xdr:colOff>
      <xdr:row>24</xdr:row>
      <xdr:rowOff>293688</xdr:rowOff>
    </xdr:to>
    <xdr:pic>
      <xdr:nvPicPr>
        <xdr:cNvPr id="55070" name="Picture 55069">
          <a:extLst>
            <a:ext uri="{FF2B5EF4-FFF2-40B4-BE49-F238E27FC236}">
              <a16:creationId xmlns:a16="http://schemas.microsoft.com/office/drawing/2014/main" id="{B93BFB2B-C791-FF2F-BF70-B9E2727EA6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81740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115703</xdr:colOff>
      <xdr:row>24</xdr:row>
      <xdr:rowOff>39688</xdr:rowOff>
    </xdr:from>
    <xdr:to>
      <xdr:col>6</xdr:col>
      <xdr:colOff>322447</xdr:colOff>
      <xdr:row>24</xdr:row>
      <xdr:rowOff>293688</xdr:rowOff>
    </xdr:to>
    <xdr:pic>
      <xdr:nvPicPr>
        <xdr:cNvPr id="55073" name="Picture 55072">
          <a:extLst>
            <a:ext uri="{FF2B5EF4-FFF2-40B4-BE49-F238E27FC236}">
              <a16:creationId xmlns:a16="http://schemas.microsoft.com/office/drawing/2014/main" id="{B617A90E-9CFC-776F-1D7A-C58B9D2B8E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928" y="8174038"/>
          <a:ext cx="206744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26</xdr:row>
      <xdr:rowOff>39688</xdr:rowOff>
    </xdr:from>
    <xdr:to>
      <xdr:col>2</xdr:col>
      <xdr:colOff>312738</xdr:colOff>
      <xdr:row>26</xdr:row>
      <xdr:rowOff>293688</xdr:rowOff>
    </xdr:to>
    <xdr:pic>
      <xdr:nvPicPr>
        <xdr:cNvPr id="55076" name="Picture 55075">
          <a:extLst>
            <a:ext uri="{FF2B5EF4-FFF2-40B4-BE49-F238E27FC236}">
              <a16:creationId xmlns:a16="http://schemas.microsoft.com/office/drawing/2014/main" id="{D85565EE-99E0-9F07-3F65-E5E2F31E46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88407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26</xdr:row>
      <xdr:rowOff>39688</xdr:rowOff>
    </xdr:from>
    <xdr:to>
      <xdr:col>6</xdr:col>
      <xdr:colOff>346075</xdr:colOff>
      <xdr:row>26</xdr:row>
      <xdr:rowOff>293688</xdr:rowOff>
    </xdr:to>
    <xdr:pic>
      <xdr:nvPicPr>
        <xdr:cNvPr id="55079" name="Picture 55078">
          <a:extLst>
            <a:ext uri="{FF2B5EF4-FFF2-40B4-BE49-F238E27FC236}">
              <a16:creationId xmlns:a16="http://schemas.microsoft.com/office/drawing/2014/main" id="{4A226F97-07BD-03FB-2D10-6081866FA7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8407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27</xdr:row>
      <xdr:rowOff>39688</xdr:rowOff>
    </xdr:from>
    <xdr:to>
      <xdr:col>2</xdr:col>
      <xdr:colOff>312738</xdr:colOff>
      <xdr:row>27</xdr:row>
      <xdr:rowOff>293688</xdr:rowOff>
    </xdr:to>
    <xdr:pic>
      <xdr:nvPicPr>
        <xdr:cNvPr id="55082" name="Picture 55081">
          <a:extLst>
            <a:ext uri="{FF2B5EF4-FFF2-40B4-BE49-F238E27FC236}">
              <a16:creationId xmlns:a16="http://schemas.microsoft.com/office/drawing/2014/main" id="{A315475D-A389-42C1-9A29-C0C15F7B74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1741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27</xdr:row>
      <xdr:rowOff>39688</xdr:rowOff>
    </xdr:from>
    <xdr:to>
      <xdr:col>6</xdr:col>
      <xdr:colOff>346075</xdr:colOff>
      <xdr:row>27</xdr:row>
      <xdr:rowOff>293688</xdr:rowOff>
    </xdr:to>
    <xdr:pic>
      <xdr:nvPicPr>
        <xdr:cNvPr id="55085" name="Picture 55084">
          <a:extLst>
            <a:ext uri="{FF2B5EF4-FFF2-40B4-BE49-F238E27FC236}">
              <a16:creationId xmlns:a16="http://schemas.microsoft.com/office/drawing/2014/main" id="{6F0A1D4A-8231-CF05-92F2-A85F3C07B2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1741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28</xdr:row>
      <xdr:rowOff>39688</xdr:rowOff>
    </xdr:from>
    <xdr:to>
      <xdr:col>2</xdr:col>
      <xdr:colOff>312738</xdr:colOff>
      <xdr:row>28</xdr:row>
      <xdr:rowOff>293688</xdr:rowOff>
    </xdr:to>
    <xdr:pic>
      <xdr:nvPicPr>
        <xdr:cNvPr id="55088" name="Picture 55087">
          <a:extLst>
            <a:ext uri="{FF2B5EF4-FFF2-40B4-BE49-F238E27FC236}">
              <a16:creationId xmlns:a16="http://schemas.microsoft.com/office/drawing/2014/main" id="{46F3AA91-6922-68AF-BA2B-1168F4C32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5075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28</xdr:row>
      <xdr:rowOff>39688</xdr:rowOff>
    </xdr:from>
    <xdr:to>
      <xdr:col>6</xdr:col>
      <xdr:colOff>346075</xdr:colOff>
      <xdr:row>28</xdr:row>
      <xdr:rowOff>293688</xdr:rowOff>
    </xdr:to>
    <xdr:pic>
      <xdr:nvPicPr>
        <xdr:cNvPr id="55091" name="Picture 55090">
          <a:extLst>
            <a:ext uri="{FF2B5EF4-FFF2-40B4-BE49-F238E27FC236}">
              <a16:creationId xmlns:a16="http://schemas.microsoft.com/office/drawing/2014/main" id="{7E855C8A-FB65-745C-B35A-F07AADE263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5075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30</xdr:row>
      <xdr:rowOff>39688</xdr:rowOff>
    </xdr:from>
    <xdr:to>
      <xdr:col>2</xdr:col>
      <xdr:colOff>312738</xdr:colOff>
      <xdr:row>30</xdr:row>
      <xdr:rowOff>293688</xdr:rowOff>
    </xdr:to>
    <xdr:pic>
      <xdr:nvPicPr>
        <xdr:cNvPr id="55094" name="Picture 55093">
          <a:extLst>
            <a:ext uri="{FF2B5EF4-FFF2-40B4-BE49-F238E27FC236}">
              <a16:creationId xmlns:a16="http://schemas.microsoft.com/office/drawing/2014/main" id="{76366776-0B8D-57A0-225D-97793AC7B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01742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149225</xdr:colOff>
      <xdr:row>30</xdr:row>
      <xdr:rowOff>39688</xdr:rowOff>
    </xdr:from>
    <xdr:to>
      <xdr:col>6</xdr:col>
      <xdr:colOff>288925</xdr:colOff>
      <xdr:row>30</xdr:row>
      <xdr:rowOff>293688</xdr:rowOff>
    </xdr:to>
    <xdr:pic>
      <xdr:nvPicPr>
        <xdr:cNvPr id="55097" name="Picture 55096">
          <a:extLst>
            <a:ext uri="{FF2B5EF4-FFF2-40B4-BE49-F238E27FC236}">
              <a16:creationId xmlns:a16="http://schemas.microsoft.com/office/drawing/2014/main" id="{7BE6A2E4-052A-3C93-F263-B10E64374E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450" y="10174288"/>
          <a:ext cx="1397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34</xdr:row>
      <xdr:rowOff>39688</xdr:rowOff>
    </xdr:from>
    <xdr:to>
      <xdr:col>2</xdr:col>
      <xdr:colOff>312738</xdr:colOff>
      <xdr:row>34</xdr:row>
      <xdr:rowOff>293688</xdr:rowOff>
    </xdr:to>
    <xdr:pic>
      <xdr:nvPicPr>
        <xdr:cNvPr id="55100" name="Picture 55099">
          <a:extLst>
            <a:ext uri="{FF2B5EF4-FFF2-40B4-BE49-F238E27FC236}">
              <a16:creationId xmlns:a16="http://schemas.microsoft.com/office/drawing/2014/main" id="{19828F71-5CF0-4894-65FE-552BABDA2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5744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34</xdr:row>
      <xdr:rowOff>39688</xdr:rowOff>
    </xdr:from>
    <xdr:to>
      <xdr:col>6</xdr:col>
      <xdr:colOff>346075</xdr:colOff>
      <xdr:row>34</xdr:row>
      <xdr:rowOff>293688</xdr:rowOff>
    </xdr:to>
    <xdr:pic>
      <xdr:nvPicPr>
        <xdr:cNvPr id="55103" name="Picture 55102">
          <a:extLst>
            <a:ext uri="{FF2B5EF4-FFF2-40B4-BE49-F238E27FC236}">
              <a16:creationId xmlns:a16="http://schemas.microsoft.com/office/drawing/2014/main" id="{D6B4E717-28BC-517B-66B5-720F28C49C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15744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36</xdr:row>
      <xdr:rowOff>39688</xdr:rowOff>
    </xdr:from>
    <xdr:to>
      <xdr:col>2</xdr:col>
      <xdr:colOff>312738</xdr:colOff>
      <xdr:row>36</xdr:row>
      <xdr:rowOff>293688</xdr:rowOff>
    </xdr:to>
    <xdr:pic>
      <xdr:nvPicPr>
        <xdr:cNvPr id="55106" name="Picture 55105">
          <a:extLst>
            <a:ext uri="{FF2B5EF4-FFF2-40B4-BE49-F238E27FC236}">
              <a16:creationId xmlns:a16="http://schemas.microsoft.com/office/drawing/2014/main" id="{DC45B15D-E8F1-03EC-78F0-7C5FE26940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2412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36</xdr:row>
      <xdr:rowOff>39688</xdr:rowOff>
    </xdr:from>
    <xdr:to>
      <xdr:col>6</xdr:col>
      <xdr:colOff>346075</xdr:colOff>
      <xdr:row>36</xdr:row>
      <xdr:rowOff>293688</xdr:rowOff>
    </xdr:to>
    <xdr:pic>
      <xdr:nvPicPr>
        <xdr:cNvPr id="55109" name="Picture 55108">
          <a:extLst>
            <a:ext uri="{FF2B5EF4-FFF2-40B4-BE49-F238E27FC236}">
              <a16:creationId xmlns:a16="http://schemas.microsoft.com/office/drawing/2014/main" id="{3C2DAFA4-0E74-3261-FBAC-8D46917DAC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2412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37</xdr:row>
      <xdr:rowOff>39688</xdr:rowOff>
    </xdr:from>
    <xdr:to>
      <xdr:col>2</xdr:col>
      <xdr:colOff>312738</xdr:colOff>
      <xdr:row>37</xdr:row>
      <xdr:rowOff>293688</xdr:rowOff>
    </xdr:to>
    <xdr:pic>
      <xdr:nvPicPr>
        <xdr:cNvPr id="55112" name="Picture 55111">
          <a:extLst>
            <a:ext uri="{FF2B5EF4-FFF2-40B4-BE49-F238E27FC236}">
              <a16:creationId xmlns:a16="http://schemas.microsoft.com/office/drawing/2014/main" id="{0B17F976-8682-F75A-AD01-35C15EDBBC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5745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108832</xdr:colOff>
      <xdr:row>37</xdr:row>
      <xdr:rowOff>39688</xdr:rowOff>
    </xdr:from>
    <xdr:to>
      <xdr:col>6</xdr:col>
      <xdr:colOff>329318</xdr:colOff>
      <xdr:row>37</xdr:row>
      <xdr:rowOff>293688</xdr:rowOff>
    </xdr:to>
    <xdr:pic>
      <xdr:nvPicPr>
        <xdr:cNvPr id="55115" name="Picture 55114">
          <a:extLst>
            <a:ext uri="{FF2B5EF4-FFF2-40B4-BE49-F238E27FC236}">
              <a16:creationId xmlns:a16="http://schemas.microsoft.com/office/drawing/2014/main" id="{4777E50E-0946-5768-FDB2-88032D33CE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6057" y="12574588"/>
          <a:ext cx="220486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38</xdr:row>
      <xdr:rowOff>39688</xdr:rowOff>
    </xdr:from>
    <xdr:to>
      <xdr:col>2</xdr:col>
      <xdr:colOff>312738</xdr:colOff>
      <xdr:row>38</xdr:row>
      <xdr:rowOff>293688</xdr:rowOff>
    </xdr:to>
    <xdr:pic>
      <xdr:nvPicPr>
        <xdr:cNvPr id="55118" name="Picture 55117">
          <a:extLst>
            <a:ext uri="{FF2B5EF4-FFF2-40B4-BE49-F238E27FC236}">
              <a16:creationId xmlns:a16="http://schemas.microsoft.com/office/drawing/2014/main" id="{A7447297-5188-0716-DBB3-8F8593228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9079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38</xdr:row>
      <xdr:rowOff>39688</xdr:rowOff>
    </xdr:from>
    <xdr:to>
      <xdr:col>6</xdr:col>
      <xdr:colOff>346075</xdr:colOff>
      <xdr:row>38</xdr:row>
      <xdr:rowOff>293688</xdr:rowOff>
    </xdr:to>
    <xdr:pic>
      <xdr:nvPicPr>
        <xdr:cNvPr id="55121" name="Picture 55120">
          <a:extLst>
            <a:ext uri="{FF2B5EF4-FFF2-40B4-BE49-F238E27FC236}">
              <a16:creationId xmlns:a16="http://schemas.microsoft.com/office/drawing/2014/main" id="{D606AB1D-BEA2-CA94-656D-89681C0DF4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9079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33572</xdr:colOff>
      <xdr:row>39</xdr:row>
      <xdr:rowOff>39688</xdr:rowOff>
    </xdr:from>
    <xdr:to>
      <xdr:col>2</xdr:col>
      <xdr:colOff>337904</xdr:colOff>
      <xdr:row>39</xdr:row>
      <xdr:rowOff>293688</xdr:rowOff>
    </xdr:to>
    <xdr:pic>
      <xdr:nvPicPr>
        <xdr:cNvPr id="55124" name="Picture 55123">
          <a:extLst>
            <a:ext uri="{FF2B5EF4-FFF2-40B4-BE49-F238E27FC236}">
              <a16:creationId xmlns:a16="http://schemas.microsoft.com/office/drawing/2014/main" id="{B3EDCCF0-E87B-CBEB-A533-F4D4AE4DE5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597" y="13241338"/>
          <a:ext cx="304332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39</xdr:row>
      <xdr:rowOff>39688</xdr:rowOff>
    </xdr:from>
    <xdr:to>
      <xdr:col>6</xdr:col>
      <xdr:colOff>346075</xdr:colOff>
      <xdr:row>39</xdr:row>
      <xdr:rowOff>293688</xdr:rowOff>
    </xdr:to>
    <xdr:pic>
      <xdr:nvPicPr>
        <xdr:cNvPr id="55127" name="Picture 55126">
          <a:extLst>
            <a:ext uri="{FF2B5EF4-FFF2-40B4-BE49-F238E27FC236}">
              <a16:creationId xmlns:a16="http://schemas.microsoft.com/office/drawing/2014/main" id="{6DE11CDE-0791-0518-6982-60CAD79853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2413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40</xdr:row>
      <xdr:rowOff>39688</xdr:rowOff>
    </xdr:from>
    <xdr:to>
      <xdr:col>2</xdr:col>
      <xdr:colOff>312738</xdr:colOff>
      <xdr:row>40</xdr:row>
      <xdr:rowOff>293688</xdr:rowOff>
    </xdr:to>
    <xdr:pic>
      <xdr:nvPicPr>
        <xdr:cNvPr id="55130" name="Picture 55129">
          <a:extLst>
            <a:ext uri="{FF2B5EF4-FFF2-40B4-BE49-F238E27FC236}">
              <a16:creationId xmlns:a16="http://schemas.microsoft.com/office/drawing/2014/main" id="{50FF8B54-CBEA-CC47-175B-ADCBF7F559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5747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40</xdr:row>
      <xdr:rowOff>39688</xdr:rowOff>
    </xdr:from>
    <xdr:to>
      <xdr:col>6</xdr:col>
      <xdr:colOff>346075</xdr:colOff>
      <xdr:row>40</xdr:row>
      <xdr:rowOff>293688</xdr:rowOff>
    </xdr:to>
    <xdr:pic>
      <xdr:nvPicPr>
        <xdr:cNvPr id="55133" name="Picture 55132">
          <a:extLst>
            <a:ext uri="{FF2B5EF4-FFF2-40B4-BE49-F238E27FC236}">
              <a16:creationId xmlns:a16="http://schemas.microsoft.com/office/drawing/2014/main" id="{8698365A-31F9-A91F-0347-7095A4382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5747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82366</xdr:colOff>
      <xdr:row>41</xdr:row>
      <xdr:rowOff>39688</xdr:rowOff>
    </xdr:from>
    <xdr:to>
      <xdr:col>2</xdr:col>
      <xdr:colOff>289110</xdr:colOff>
      <xdr:row>41</xdr:row>
      <xdr:rowOff>293688</xdr:rowOff>
    </xdr:to>
    <xdr:pic>
      <xdr:nvPicPr>
        <xdr:cNvPr id="55136" name="Picture 55135">
          <a:extLst>
            <a:ext uri="{FF2B5EF4-FFF2-40B4-BE49-F238E27FC236}">
              <a16:creationId xmlns:a16="http://schemas.microsoft.com/office/drawing/2014/main" id="{18A547B5-F991-A2CE-73C3-057B4E23C8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391" y="13908088"/>
          <a:ext cx="206744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41</xdr:row>
      <xdr:rowOff>39688</xdr:rowOff>
    </xdr:from>
    <xdr:to>
      <xdr:col>6</xdr:col>
      <xdr:colOff>346075</xdr:colOff>
      <xdr:row>41</xdr:row>
      <xdr:rowOff>293688</xdr:rowOff>
    </xdr:to>
    <xdr:pic>
      <xdr:nvPicPr>
        <xdr:cNvPr id="55139" name="Picture 55138">
          <a:extLst>
            <a:ext uri="{FF2B5EF4-FFF2-40B4-BE49-F238E27FC236}">
              <a16:creationId xmlns:a16="http://schemas.microsoft.com/office/drawing/2014/main" id="{6D84254B-387B-6F6E-B456-9DA439FEAA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9080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43</xdr:row>
      <xdr:rowOff>39688</xdr:rowOff>
    </xdr:from>
    <xdr:to>
      <xdr:col>2</xdr:col>
      <xdr:colOff>312738</xdr:colOff>
      <xdr:row>43</xdr:row>
      <xdr:rowOff>293688</xdr:rowOff>
    </xdr:to>
    <xdr:pic>
      <xdr:nvPicPr>
        <xdr:cNvPr id="55142" name="Picture 55141">
          <a:extLst>
            <a:ext uri="{FF2B5EF4-FFF2-40B4-BE49-F238E27FC236}">
              <a16:creationId xmlns:a16="http://schemas.microsoft.com/office/drawing/2014/main" id="{BFC7EAD6-2248-9ABD-9DEE-99921F1887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5748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43</xdr:row>
      <xdr:rowOff>39688</xdr:rowOff>
    </xdr:from>
    <xdr:to>
      <xdr:col>6</xdr:col>
      <xdr:colOff>346075</xdr:colOff>
      <xdr:row>43</xdr:row>
      <xdr:rowOff>293688</xdr:rowOff>
    </xdr:to>
    <xdr:pic>
      <xdr:nvPicPr>
        <xdr:cNvPr id="55145" name="Picture 55144">
          <a:extLst>
            <a:ext uri="{FF2B5EF4-FFF2-40B4-BE49-F238E27FC236}">
              <a16:creationId xmlns:a16="http://schemas.microsoft.com/office/drawing/2014/main" id="{5C7ED902-1D97-000A-E8A6-6681114A0C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5748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44</xdr:row>
      <xdr:rowOff>39688</xdr:rowOff>
    </xdr:from>
    <xdr:to>
      <xdr:col>2</xdr:col>
      <xdr:colOff>312738</xdr:colOff>
      <xdr:row>44</xdr:row>
      <xdr:rowOff>293688</xdr:rowOff>
    </xdr:to>
    <xdr:pic>
      <xdr:nvPicPr>
        <xdr:cNvPr id="55148" name="Picture 55147">
          <a:extLst>
            <a:ext uri="{FF2B5EF4-FFF2-40B4-BE49-F238E27FC236}">
              <a16:creationId xmlns:a16="http://schemas.microsoft.com/office/drawing/2014/main" id="{99F8F0BD-B726-72D9-69B1-822A32CCDA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9082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44</xdr:row>
      <xdr:rowOff>39688</xdr:rowOff>
    </xdr:from>
    <xdr:to>
      <xdr:col>6</xdr:col>
      <xdr:colOff>346075</xdr:colOff>
      <xdr:row>44</xdr:row>
      <xdr:rowOff>293688</xdr:rowOff>
    </xdr:to>
    <xdr:pic>
      <xdr:nvPicPr>
        <xdr:cNvPr id="55151" name="Picture 55150">
          <a:extLst>
            <a:ext uri="{FF2B5EF4-FFF2-40B4-BE49-F238E27FC236}">
              <a16:creationId xmlns:a16="http://schemas.microsoft.com/office/drawing/2014/main" id="{24BE2CAF-C876-E13F-019C-FBA7CD7D99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9082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115888</xdr:colOff>
      <xdr:row>45</xdr:row>
      <xdr:rowOff>39688</xdr:rowOff>
    </xdr:from>
    <xdr:to>
      <xdr:col>2</xdr:col>
      <xdr:colOff>255588</xdr:colOff>
      <xdr:row>45</xdr:row>
      <xdr:rowOff>293688</xdr:rowOff>
    </xdr:to>
    <xdr:pic>
      <xdr:nvPicPr>
        <xdr:cNvPr id="55154" name="Picture 55153">
          <a:extLst>
            <a:ext uri="{FF2B5EF4-FFF2-40B4-BE49-F238E27FC236}">
              <a16:creationId xmlns:a16="http://schemas.microsoft.com/office/drawing/2014/main" id="{053C8F4C-1D32-1CBF-2C5F-6AE77013FD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3913" y="15241588"/>
          <a:ext cx="1397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45</xdr:row>
      <xdr:rowOff>39688</xdr:rowOff>
    </xdr:from>
    <xdr:to>
      <xdr:col>6</xdr:col>
      <xdr:colOff>346075</xdr:colOff>
      <xdr:row>45</xdr:row>
      <xdr:rowOff>293688</xdr:rowOff>
    </xdr:to>
    <xdr:pic>
      <xdr:nvPicPr>
        <xdr:cNvPr id="55157" name="Picture 55156">
          <a:extLst>
            <a:ext uri="{FF2B5EF4-FFF2-40B4-BE49-F238E27FC236}">
              <a16:creationId xmlns:a16="http://schemas.microsoft.com/office/drawing/2014/main" id="{703E0656-2298-51FC-3900-02F31EDFCB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2415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49</xdr:row>
      <xdr:rowOff>39688</xdr:rowOff>
    </xdr:from>
    <xdr:to>
      <xdr:col>2</xdr:col>
      <xdr:colOff>312738</xdr:colOff>
      <xdr:row>49</xdr:row>
      <xdr:rowOff>293688</xdr:rowOff>
    </xdr:to>
    <xdr:pic>
      <xdr:nvPicPr>
        <xdr:cNvPr id="55160" name="Picture 55159">
          <a:extLst>
            <a:ext uri="{FF2B5EF4-FFF2-40B4-BE49-F238E27FC236}">
              <a16:creationId xmlns:a16="http://schemas.microsoft.com/office/drawing/2014/main" id="{7B1981F3-EF0F-FA30-263D-BA8EBE8C99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6417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49</xdr:row>
      <xdr:rowOff>39688</xdr:rowOff>
    </xdr:from>
    <xdr:to>
      <xdr:col>6</xdr:col>
      <xdr:colOff>346075</xdr:colOff>
      <xdr:row>49</xdr:row>
      <xdr:rowOff>293688</xdr:rowOff>
    </xdr:to>
    <xdr:pic>
      <xdr:nvPicPr>
        <xdr:cNvPr id="55163" name="Picture 55162">
          <a:extLst>
            <a:ext uri="{FF2B5EF4-FFF2-40B4-BE49-F238E27FC236}">
              <a16:creationId xmlns:a16="http://schemas.microsoft.com/office/drawing/2014/main" id="{B599F742-EE26-B4D8-9F7D-496BF5EF3E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6417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50</xdr:row>
      <xdr:rowOff>39688</xdr:rowOff>
    </xdr:from>
    <xdr:to>
      <xdr:col>2</xdr:col>
      <xdr:colOff>312738</xdr:colOff>
      <xdr:row>50</xdr:row>
      <xdr:rowOff>293688</xdr:rowOff>
    </xdr:to>
    <xdr:pic>
      <xdr:nvPicPr>
        <xdr:cNvPr id="55166" name="Picture 55165">
          <a:extLst>
            <a:ext uri="{FF2B5EF4-FFF2-40B4-BE49-F238E27FC236}">
              <a16:creationId xmlns:a16="http://schemas.microsoft.com/office/drawing/2014/main" id="{C7C5CF46-A541-CD10-809D-2978F80958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9751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50</xdr:row>
      <xdr:rowOff>39688</xdr:rowOff>
    </xdr:from>
    <xdr:to>
      <xdr:col>6</xdr:col>
      <xdr:colOff>346075</xdr:colOff>
      <xdr:row>50</xdr:row>
      <xdr:rowOff>293688</xdr:rowOff>
    </xdr:to>
    <xdr:pic>
      <xdr:nvPicPr>
        <xdr:cNvPr id="55169" name="Picture 55168">
          <a:extLst>
            <a:ext uri="{FF2B5EF4-FFF2-40B4-BE49-F238E27FC236}">
              <a16:creationId xmlns:a16="http://schemas.microsoft.com/office/drawing/2014/main" id="{92B89F85-21A4-84EA-8BD0-E2807E09B9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9751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51</xdr:row>
      <xdr:rowOff>39688</xdr:rowOff>
    </xdr:from>
    <xdr:to>
      <xdr:col>2</xdr:col>
      <xdr:colOff>312738</xdr:colOff>
      <xdr:row>51</xdr:row>
      <xdr:rowOff>293688</xdr:rowOff>
    </xdr:to>
    <xdr:pic>
      <xdr:nvPicPr>
        <xdr:cNvPr id="55172" name="Picture 55171">
          <a:extLst>
            <a:ext uri="{FF2B5EF4-FFF2-40B4-BE49-F238E27FC236}">
              <a16:creationId xmlns:a16="http://schemas.microsoft.com/office/drawing/2014/main" id="{9FF06A55-C77C-925E-AB7A-8685221064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73085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66909</xdr:colOff>
      <xdr:row>51</xdr:row>
      <xdr:rowOff>39688</xdr:rowOff>
    </xdr:from>
    <xdr:to>
      <xdr:col>6</xdr:col>
      <xdr:colOff>371241</xdr:colOff>
      <xdr:row>51</xdr:row>
      <xdr:rowOff>293688</xdr:rowOff>
    </xdr:to>
    <xdr:pic>
      <xdr:nvPicPr>
        <xdr:cNvPr id="55175" name="Picture 55174">
          <a:extLst>
            <a:ext uri="{FF2B5EF4-FFF2-40B4-BE49-F238E27FC236}">
              <a16:creationId xmlns:a16="http://schemas.microsoft.com/office/drawing/2014/main" id="{DBAB571E-6F29-DD3D-15A2-835BDDD577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4134" y="17308513"/>
          <a:ext cx="304332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52</xdr:row>
      <xdr:rowOff>39688</xdr:rowOff>
    </xdr:from>
    <xdr:to>
      <xdr:col>2</xdr:col>
      <xdr:colOff>312738</xdr:colOff>
      <xdr:row>52</xdr:row>
      <xdr:rowOff>293688</xdr:rowOff>
    </xdr:to>
    <xdr:pic>
      <xdr:nvPicPr>
        <xdr:cNvPr id="55178" name="Picture 55177">
          <a:extLst>
            <a:ext uri="{FF2B5EF4-FFF2-40B4-BE49-F238E27FC236}">
              <a16:creationId xmlns:a16="http://schemas.microsoft.com/office/drawing/2014/main" id="{48655F26-E135-61F9-CEFB-D4DDDDF20E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76418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52</xdr:row>
      <xdr:rowOff>39688</xdr:rowOff>
    </xdr:from>
    <xdr:to>
      <xdr:col>6</xdr:col>
      <xdr:colOff>346075</xdr:colOff>
      <xdr:row>52</xdr:row>
      <xdr:rowOff>293688</xdr:rowOff>
    </xdr:to>
    <xdr:pic>
      <xdr:nvPicPr>
        <xdr:cNvPr id="55181" name="Picture 55180">
          <a:extLst>
            <a:ext uri="{FF2B5EF4-FFF2-40B4-BE49-F238E27FC236}">
              <a16:creationId xmlns:a16="http://schemas.microsoft.com/office/drawing/2014/main" id="{86F3751B-CB4D-592A-A224-8EBD27CC6D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76418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53</xdr:row>
      <xdr:rowOff>39688</xdr:rowOff>
    </xdr:from>
    <xdr:to>
      <xdr:col>2</xdr:col>
      <xdr:colOff>312738</xdr:colOff>
      <xdr:row>53</xdr:row>
      <xdr:rowOff>293688</xdr:rowOff>
    </xdr:to>
    <xdr:pic>
      <xdr:nvPicPr>
        <xdr:cNvPr id="55184" name="Picture 55183">
          <a:extLst>
            <a:ext uri="{FF2B5EF4-FFF2-40B4-BE49-F238E27FC236}">
              <a16:creationId xmlns:a16="http://schemas.microsoft.com/office/drawing/2014/main" id="{1194730F-9514-4BB0-4301-E54B4A6AAC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79752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115703</xdr:colOff>
      <xdr:row>53</xdr:row>
      <xdr:rowOff>39688</xdr:rowOff>
    </xdr:from>
    <xdr:to>
      <xdr:col>6</xdr:col>
      <xdr:colOff>322447</xdr:colOff>
      <xdr:row>53</xdr:row>
      <xdr:rowOff>293688</xdr:rowOff>
    </xdr:to>
    <xdr:pic>
      <xdr:nvPicPr>
        <xdr:cNvPr id="55187" name="Picture 55186">
          <a:extLst>
            <a:ext uri="{FF2B5EF4-FFF2-40B4-BE49-F238E27FC236}">
              <a16:creationId xmlns:a16="http://schemas.microsoft.com/office/drawing/2014/main" id="{4742622E-2A6C-37A0-CAEB-3DC8328C7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928" y="17975263"/>
          <a:ext cx="206744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54</xdr:row>
      <xdr:rowOff>39688</xdr:rowOff>
    </xdr:from>
    <xdr:to>
      <xdr:col>2</xdr:col>
      <xdr:colOff>312738</xdr:colOff>
      <xdr:row>54</xdr:row>
      <xdr:rowOff>293688</xdr:rowOff>
    </xdr:to>
    <xdr:pic>
      <xdr:nvPicPr>
        <xdr:cNvPr id="55190" name="Picture 55189">
          <a:extLst>
            <a:ext uri="{FF2B5EF4-FFF2-40B4-BE49-F238E27FC236}">
              <a16:creationId xmlns:a16="http://schemas.microsoft.com/office/drawing/2014/main" id="{2AF6B1AC-5322-697D-330A-2290FBD8A3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83086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54</xdr:row>
      <xdr:rowOff>39688</xdr:rowOff>
    </xdr:from>
    <xdr:to>
      <xdr:col>6</xdr:col>
      <xdr:colOff>346075</xdr:colOff>
      <xdr:row>54</xdr:row>
      <xdr:rowOff>293688</xdr:rowOff>
    </xdr:to>
    <xdr:pic>
      <xdr:nvPicPr>
        <xdr:cNvPr id="55193" name="Picture 55192">
          <a:extLst>
            <a:ext uri="{FF2B5EF4-FFF2-40B4-BE49-F238E27FC236}">
              <a16:creationId xmlns:a16="http://schemas.microsoft.com/office/drawing/2014/main" id="{6CC49BC2-F391-190A-CBDA-80AFB4113E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83086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55</xdr:row>
      <xdr:rowOff>39688</xdr:rowOff>
    </xdr:from>
    <xdr:to>
      <xdr:col>2</xdr:col>
      <xdr:colOff>312738</xdr:colOff>
      <xdr:row>55</xdr:row>
      <xdr:rowOff>293688</xdr:rowOff>
    </xdr:to>
    <xdr:pic>
      <xdr:nvPicPr>
        <xdr:cNvPr id="55196" name="Picture 55195">
          <a:extLst>
            <a:ext uri="{FF2B5EF4-FFF2-40B4-BE49-F238E27FC236}">
              <a16:creationId xmlns:a16="http://schemas.microsoft.com/office/drawing/2014/main" id="{11AD3196-D612-DF32-A407-79399566B5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86420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55</xdr:row>
      <xdr:rowOff>39688</xdr:rowOff>
    </xdr:from>
    <xdr:to>
      <xdr:col>6</xdr:col>
      <xdr:colOff>346075</xdr:colOff>
      <xdr:row>55</xdr:row>
      <xdr:rowOff>293688</xdr:rowOff>
    </xdr:to>
    <xdr:pic>
      <xdr:nvPicPr>
        <xdr:cNvPr id="55199" name="Picture 55198">
          <a:extLst>
            <a:ext uri="{FF2B5EF4-FFF2-40B4-BE49-F238E27FC236}">
              <a16:creationId xmlns:a16="http://schemas.microsoft.com/office/drawing/2014/main" id="{B0611A09-6FAD-6C8A-FA27-EFEA932F19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86420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56</xdr:row>
      <xdr:rowOff>39688</xdr:rowOff>
    </xdr:from>
    <xdr:to>
      <xdr:col>2</xdr:col>
      <xdr:colOff>312738</xdr:colOff>
      <xdr:row>56</xdr:row>
      <xdr:rowOff>293688</xdr:rowOff>
    </xdr:to>
    <xdr:pic>
      <xdr:nvPicPr>
        <xdr:cNvPr id="55202" name="Picture 55201">
          <a:extLst>
            <a:ext uri="{FF2B5EF4-FFF2-40B4-BE49-F238E27FC236}">
              <a16:creationId xmlns:a16="http://schemas.microsoft.com/office/drawing/2014/main" id="{1236906E-D5EA-B800-E7FF-A6B4A406F6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89753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56</xdr:row>
      <xdr:rowOff>39688</xdr:rowOff>
    </xdr:from>
    <xdr:to>
      <xdr:col>6</xdr:col>
      <xdr:colOff>346075</xdr:colOff>
      <xdr:row>56</xdr:row>
      <xdr:rowOff>293688</xdr:rowOff>
    </xdr:to>
    <xdr:pic>
      <xdr:nvPicPr>
        <xdr:cNvPr id="55205" name="Picture 55204">
          <a:extLst>
            <a:ext uri="{FF2B5EF4-FFF2-40B4-BE49-F238E27FC236}">
              <a16:creationId xmlns:a16="http://schemas.microsoft.com/office/drawing/2014/main" id="{1C8FDD9A-D628-A9CF-B7F3-AAE15A72B7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89753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75495</xdr:colOff>
      <xdr:row>58</xdr:row>
      <xdr:rowOff>39688</xdr:rowOff>
    </xdr:from>
    <xdr:to>
      <xdr:col>2</xdr:col>
      <xdr:colOff>295981</xdr:colOff>
      <xdr:row>58</xdr:row>
      <xdr:rowOff>293688</xdr:rowOff>
    </xdr:to>
    <xdr:pic>
      <xdr:nvPicPr>
        <xdr:cNvPr id="55208" name="Picture 55207">
          <a:extLst>
            <a:ext uri="{FF2B5EF4-FFF2-40B4-BE49-F238E27FC236}">
              <a16:creationId xmlns:a16="http://schemas.microsoft.com/office/drawing/2014/main" id="{BA4EEB03-726C-05A5-19C5-3256DB974B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520" y="19642138"/>
          <a:ext cx="220486" cy="254000"/>
        </a:xfrm>
        <a:prstGeom prst="rect">
          <a:avLst/>
        </a:prstGeom>
      </xdr:spPr>
    </xdr:pic>
    <xdr:clientData/>
  </xdr:twoCellAnchor>
  <xdr:twoCellAnchor>
    <xdr:from>
      <xdr:col>6</xdr:col>
      <xdr:colOff>149225</xdr:colOff>
      <xdr:row>58</xdr:row>
      <xdr:rowOff>39688</xdr:rowOff>
    </xdr:from>
    <xdr:to>
      <xdr:col>6</xdr:col>
      <xdr:colOff>288925</xdr:colOff>
      <xdr:row>58</xdr:row>
      <xdr:rowOff>293688</xdr:rowOff>
    </xdr:to>
    <xdr:pic>
      <xdr:nvPicPr>
        <xdr:cNvPr id="55211" name="Picture 55210">
          <a:extLst>
            <a:ext uri="{FF2B5EF4-FFF2-40B4-BE49-F238E27FC236}">
              <a16:creationId xmlns:a16="http://schemas.microsoft.com/office/drawing/2014/main" id="{23D85748-C3FD-0B92-C122-F31CC13E30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450" y="19642138"/>
          <a:ext cx="1397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59</xdr:row>
      <xdr:rowOff>39688</xdr:rowOff>
    </xdr:from>
    <xdr:to>
      <xdr:col>2</xdr:col>
      <xdr:colOff>312738</xdr:colOff>
      <xdr:row>59</xdr:row>
      <xdr:rowOff>293688</xdr:rowOff>
    </xdr:to>
    <xdr:pic>
      <xdr:nvPicPr>
        <xdr:cNvPr id="55214" name="Picture 55213">
          <a:extLst>
            <a:ext uri="{FF2B5EF4-FFF2-40B4-BE49-F238E27FC236}">
              <a16:creationId xmlns:a16="http://schemas.microsoft.com/office/drawing/2014/main" id="{283D9697-C919-A2BD-AA29-8D0E00B6F3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99755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59</xdr:row>
      <xdr:rowOff>39688</xdr:rowOff>
    </xdr:from>
    <xdr:to>
      <xdr:col>6</xdr:col>
      <xdr:colOff>346075</xdr:colOff>
      <xdr:row>59</xdr:row>
      <xdr:rowOff>293688</xdr:rowOff>
    </xdr:to>
    <xdr:pic>
      <xdr:nvPicPr>
        <xdr:cNvPr id="55217" name="Picture 55216">
          <a:extLst>
            <a:ext uri="{FF2B5EF4-FFF2-40B4-BE49-F238E27FC236}">
              <a16:creationId xmlns:a16="http://schemas.microsoft.com/office/drawing/2014/main" id="{2DA24EB0-F0C7-4F33-53E0-9119B05C64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99755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115888</xdr:colOff>
      <xdr:row>63</xdr:row>
      <xdr:rowOff>39688</xdr:rowOff>
    </xdr:from>
    <xdr:to>
      <xdr:col>2</xdr:col>
      <xdr:colOff>255588</xdr:colOff>
      <xdr:row>63</xdr:row>
      <xdr:rowOff>293688</xdr:rowOff>
    </xdr:to>
    <xdr:pic>
      <xdr:nvPicPr>
        <xdr:cNvPr id="55220" name="Picture 55219">
          <a:extLst>
            <a:ext uri="{FF2B5EF4-FFF2-40B4-BE49-F238E27FC236}">
              <a16:creationId xmlns:a16="http://schemas.microsoft.com/office/drawing/2014/main" id="{FA386714-C292-7E5A-4A4B-6008D0002F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3913" y="21375688"/>
          <a:ext cx="1397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63</xdr:row>
      <xdr:rowOff>39688</xdr:rowOff>
    </xdr:from>
    <xdr:to>
      <xdr:col>6</xdr:col>
      <xdr:colOff>346075</xdr:colOff>
      <xdr:row>63</xdr:row>
      <xdr:rowOff>293688</xdr:rowOff>
    </xdr:to>
    <xdr:pic>
      <xdr:nvPicPr>
        <xdr:cNvPr id="55223" name="Picture 55222">
          <a:extLst>
            <a:ext uri="{FF2B5EF4-FFF2-40B4-BE49-F238E27FC236}">
              <a16:creationId xmlns:a16="http://schemas.microsoft.com/office/drawing/2014/main" id="{F13B7F1E-315D-3124-EBF8-5A6F81232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213756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64</xdr:row>
      <xdr:rowOff>39688</xdr:rowOff>
    </xdr:from>
    <xdr:to>
      <xdr:col>2</xdr:col>
      <xdr:colOff>312738</xdr:colOff>
      <xdr:row>64</xdr:row>
      <xdr:rowOff>293688</xdr:rowOff>
    </xdr:to>
    <xdr:pic>
      <xdr:nvPicPr>
        <xdr:cNvPr id="55226" name="Picture 55225">
          <a:extLst>
            <a:ext uri="{FF2B5EF4-FFF2-40B4-BE49-F238E27FC236}">
              <a16:creationId xmlns:a16="http://schemas.microsoft.com/office/drawing/2014/main" id="{0753D9BC-8921-2E72-28FE-E85A012C84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217090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64</xdr:row>
      <xdr:rowOff>39688</xdr:rowOff>
    </xdr:from>
    <xdr:to>
      <xdr:col>6</xdr:col>
      <xdr:colOff>346075</xdr:colOff>
      <xdr:row>64</xdr:row>
      <xdr:rowOff>293688</xdr:rowOff>
    </xdr:to>
    <xdr:pic>
      <xdr:nvPicPr>
        <xdr:cNvPr id="55229" name="Picture 55228">
          <a:extLst>
            <a:ext uri="{FF2B5EF4-FFF2-40B4-BE49-F238E27FC236}">
              <a16:creationId xmlns:a16="http://schemas.microsoft.com/office/drawing/2014/main" id="{590E69CA-D846-6234-7D15-455DBADA7F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217090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65</xdr:row>
      <xdr:rowOff>39688</xdr:rowOff>
    </xdr:from>
    <xdr:to>
      <xdr:col>2</xdr:col>
      <xdr:colOff>312738</xdr:colOff>
      <xdr:row>65</xdr:row>
      <xdr:rowOff>293688</xdr:rowOff>
    </xdr:to>
    <xdr:pic>
      <xdr:nvPicPr>
        <xdr:cNvPr id="55232" name="Picture 55231">
          <a:extLst>
            <a:ext uri="{FF2B5EF4-FFF2-40B4-BE49-F238E27FC236}">
              <a16:creationId xmlns:a16="http://schemas.microsoft.com/office/drawing/2014/main" id="{66125537-CF92-B608-737E-A7B680208F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220424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65</xdr:row>
      <xdr:rowOff>39688</xdr:rowOff>
    </xdr:from>
    <xdr:to>
      <xdr:col>6</xdr:col>
      <xdr:colOff>346075</xdr:colOff>
      <xdr:row>65</xdr:row>
      <xdr:rowOff>293688</xdr:rowOff>
    </xdr:to>
    <xdr:pic>
      <xdr:nvPicPr>
        <xdr:cNvPr id="55235" name="Picture 55234">
          <a:extLst>
            <a:ext uri="{FF2B5EF4-FFF2-40B4-BE49-F238E27FC236}">
              <a16:creationId xmlns:a16="http://schemas.microsoft.com/office/drawing/2014/main" id="{68996177-8116-32B2-30F4-5AC5E75E3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220424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75495</xdr:colOff>
      <xdr:row>66</xdr:row>
      <xdr:rowOff>39688</xdr:rowOff>
    </xdr:from>
    <xdr:to>
      <xdr:col>2</xdr:col>
      <xdr:colOff>295981</xdr:colOff>
      <xdr:row>66</xdr:row>
      <xdr:rowOff>293688</xdr:rowOff>
    </xdr:to>
    <xdr:pic>
      <xdr:nvPicPr>
        <xdr:cNvPr id="55238" name="Picture 55237">
          <a:extLst>
            <a:ext uri="{FF2B5EF4-FFF2-40B4-BE49-F238E27FC236}">
              <a16:creationId xmlns:a16="http://schemas.microsoft.com/office/drawing/2014/main" id="{3FEEAB0D-A7B6-0982-E10B-38859A852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520" y="22375813"/>
          <a:ext cx="220486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66</xdr:row>
      <xdr:rowOff>39688</xdr:rowOff>
    </xdr:from>
    <xdr:to>
      <xdr:col>6</xdr:col>
      <xdr:colOff>346075</xdr:colOff>
      <xdr:row>66</xdr:row>
      <xdr:rowOff>293688</xdr:rowOff>
    </xdr:to>
    <xdr:pic>
      <xdr:nvPicPr>
        <xdr:cNvPr id="55241" name="Picture 55240">
          <a:extLst>
            <a:ext uri="{FF2B5EF4-FFF2-40B4-BE49-F238E27FC236}">
              <a16:creationId xmlns:a16="http://schemas.microsoft.com/office/drawing/2014/main" id="{0C2401C9-BF88-EE27-090C-74CF11426A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223758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67</xdr:row>
      <xdr:rowOff>39688</xdr:rowOff>
    </xdr:from>
    <xdr:to>
      <xdr:col>2</xdr:col>
      <xdr:colOff>312738</xdr:colOff>
      <xdr:row>67</xdr:row>
      <xdr:rowOff>293688</xdr:rowOff>
    </xdr:to>
    <xdr:pic>
      <xdr:nvPicPr>
        <xdr:cNvPr id="55244" name="Picture 55243">
          <a:extLst>
            <a:ext uri="{FF2B5EF4-FFF2-40B4-BE49-F238E27FC236}">
              <a16:creationId xmlns:a16="http://schemas.microsoft.com/office/drawing/2014/main" id="{8EEBCED8-F60E-A1FF-2B7A-DCDCAF47F4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227091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67</xdr:row>
      <xdr:rowOff>39688</xdr:rowOff>
    </xdr:from>
    <xdr:to>
      <xdr:col>6</xdr:col>
      <xdr:colOff>346075</xdr:colOff>
      <xdr:row>67</xdr:row>
      <xdr:rowOff>293688</xdr:rowOff>
    </xdr:to>
    <xdr:pic>
      <xdr:nvPicPr>
        <xdr:cNvPr id="55247" name="Picture 55246">
          <a:extLst>
            <a:ext uri="{FF2B5EF4-FFF2-40B4-BE49-F238E27FC236}">
              <a16:creationId xmlns:a16="http://schemas.microsoft.com/office/drawing/2014/main" id="{04823CFD-8D17-248D-88FC-92E05AA6F8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227091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68</xdr:row>
      <xdr:rowOff>39688</xdr:rowOff>
    </xdr:from>
    <xdr:to>
      <xdr:col>2</xdr:col>
      <xdr:colOff>312738</xdr:colOff>
      <xdr:row>68</xdr:row>
      <xdr:rowOff>293688</xdr:rowOff>
    </xdr:to>
    <xdr:pic>
      <xdr:nvPicPr>
        <xdr:cNvPr id="55250" name="Picture 55249">
          <a:extLst>
            <a:ext uri="{FF2B5EF4-FFF2-40B4-BE49-F238E27FC236}">
              <a16:creationId xmlns:a16="http://schemas.microsoft.com/office/drawing/2014/main" id="{26C51B71-17FC-A54D-4249-8FD75BF36F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230425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115703</xdr:colOff>
      <xdr:row>68</xdr:row>
      <xdr:rowOff>39688</xdr:rowOff>
    </xdr:from>
    <xdr:to>
      <xdr:col>6</xdr:col>
      <xdr:colOff>322447</xdr:colOff>
      <xdr:row>68</xdr:row>
      <xdr:rowOff>293688</xdr:rowOff>
    </xdr:to>
    <xdr:pic>
      <xdr:nvPicPr>
        <xdr:cNvPr id="55253" name="Picture 55252">
          <a:extLst>
            <a:ext uri="{FF2B5EF4-FFF2-40B4-BE49-F238E27FC236}">
              <a16:creationId xmlns:a16="http://schemas.microsoft.com/office/drawing/2014/main" id="{05D10096-E470-E2D0-ECCA-4ACB4D191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928" y="23042563"/>
          <a:ext cx="206744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69</xdr:row>
      <xdr:rowOff>39688</xdr:rowOff>
    </xdr:from>
    <xdr:to>
      <xdr:col>2</xdr:col>
      <xdr:colOff>312738</xdr:colOff>
      <xdr:row>69</xdr:row>
      <xdr:rowOff>293688</xdr:rowOff>
    </xdr:to>
    <xdr:pic>
      <xdr:nvPicPr>
        <xdr:cNvPr id="55256" name="Picture 55255">
          <a:extLst>
            <a:ext uri="{FF2B5EF4-FFF2-40B4-BE49-F238E27FC236}">
              <a16:creationId xmlns:a16="http://schemas.microsoft.com/office/drawing/2014/main" id="{3091C382-4256-0971-930D-FF8544D1E2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233759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69</xdr:row>
      <xdr:rowOff>39688</xdr:rowOff>
    </xdr:from>
    <xdr:to>
      <xdr:col>6</xdr:col>
      <xdr:colOff>346075</xdr:colOff>
      <xdr:row>69</xdr:row>
      <xdr:rowOff>293688</xdr:rowOff>
    </xdr:to>
    <xdr:pic>
      <xdr:nvPicPr>
        <xdr:cNvPr id="55259" name="Picture 55258">
          <a:extLst>
            <a:ext uri="{FF2B5EF4-FFF2-40B4-BE49-F238E27FC236}">
              <a16:creationId xmlns:a16="http://schemas.microsoft.com/office/drawing/2014/main" id="{B2E03459-3D68-4491-0688-1821B6CE49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233759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70</xdr:row>
      <xdr:rowOff>39688</xdr:rowOff>
    </xdr:from>
    <xdr:to>
      <xdr:col>2</xdr:col>
      <xdr:colOff>312738</xdr:colOff>
      <xdr:row>70</xdr:row>
      <xdr:rowOff>293688</xdr:rowOff>
    </xdr:to>
    <xdr:pic>
      <xdr:nvPicPr>
        <xdr:cNvPr id="55262" name="Picture 55261">
          <a:extLst>
            <a:ext uri="{FF2B5EF4-FFF2-40B4-BE49-F238E27FC236}">
              <a16:creationId xmlns:a16="http://schemas.microsoft.com/office/drawing/2014/main" id="{DD971831-3627-7E4B-8712-D1BDEE33B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237093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70</xdr:row>
      <xdr:rowOff>39688</xdr:rowOff>
    </xdr:from>
    <xdr:to>
      <xdr:col>6</xdr:col>
      <xdr:colOff>346075</xdr:colOff>
      <xdr:row>70</xdr:row>
      <xdr:rowOff>293688</xdr:rowOff>
    </xdr:to>
    <xdr:pic>
      <xdr:nvPicPr>
        <xdr:cNvPr id="55265" name="Picture 55264">
          <a:extLst>
            <a:ext uri="{FF2B5EF4-FFF2-40B4-BE49-F238E27FC236}">
              <a16:creationId xmlns:a16="http://schemas.microsoft.com/office/drawing/2014/main" id="{9AB0D7D2-AD10-8C30-3FFF-1BB11E243D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237093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33572</xdr:colOff>
      <xdr:row>72</xdr:row>
      <xdr:rowOff>39688</xdr:rowOff>
    </xdr:from>
    <xdr:to>
      <xdr:col>2</xdr:col>
      <xdr:colOff>337904</xdr:colOff>
      <xdr:row>72</xdr:row>
      <xdr:rowOff>293688</xdr:rowOff>
    </xdr:to>
    <xdr:pic>
      <xdr:nvPicPr>
        <xdr:cNvPr id="55268" name="Picture 55267">
          <a:extLst>
            <a:ext uri="{FF2B5EF4-FFF2-40B4-BE49-F238E27FC236}">
              <a16:creationId xmlns:a16="http://schemas.microsoft.com/office/drawing/2014/main" id="{7E339A0C-9076-B8E3-8005-8EEEFC547A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597" y="24376063"/>
          <a:ext cx="304332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72</xdr:row>
      <xdr:rowOff>39688</xdr:rowOff>
    </xdr:from>
    <xdr:to>
      <xdr:col>6</xdr:col>
      <xdr:colOff>346075</xdr:colOff>
      <xdr:row>72</xdr:row>
      <xdr:rowOff>293688</xdr:rowOff>
    </xdr:to>
    <xdr:pic>
      <xdr:nvPicPr>
        <xdr:cNvPr id="55271" name="Picture 55270">
          <a:extLst>
            <a:ext uri="{FF2B5EF4-FFF2-40B4-BE49-F238E27FC236}">
              <a16:creationId xmlns:a16="http://schemas.microsoft.com/office/drawing/2014/main" id="{5A4B5C7E-D4C5-EE20-1DEA-5D929299FA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243760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73</xdr:row>
      <xdr:rowOff>39688</xdr:rowOff>
    </xdr:from>
    <xdr:to>
      <xdr:col>2</xdr:col>
      <xdr:colOff>312738</xdr:colOff>
      <xdr:row>73</xdr:row>
      <xdr:rowOff>293688</xdr:rowOff>
    </xdr:to>
    <xdr:pic>
      <xdr:nvPicPr>
        <xdr:cNvPr id="55274" name="Picture 55273">
          <a:extLst>
            <a:ext uri="{FF2B5EF4-FFF2-40B4-BE49-F238E27FC236}">
              <a16:creationId xmlns:a16="http://schemas.microsoft.com/office/drawing/2014/main" id="{358CBF83-E42E-FD32-95B0-54B6F42167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247094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73</xdr:row>
      <xdr:rowOff>39688</xdr:rowOff>
    </xdr:from>
    <xdr:to>
      <xdr:col>6</xdr:col>
      <xdr:colOff>346075</xdr:colOff>
      <xdr:row>73</xdr:row>
      <xdr:rowOff>293688</xdr:rowOff>
    </xdr:to>
    <xdr:pic>
      <xdr:nvPicPr>
        <xdr:cNvPr id="55277" name="Picture 55276">
          <a:extLst>
            <a:ext uri="{FF2B5EF4-FFF2-40B4-BE49-F238E27FC236}">
              <a16:creationId xmlns:a16="http://schemas.microsoft.com/office/drawing/2014/main" id="{10641778-BAE1-3D8C-4627-5D1DFA21C1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247094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77</xdr:row>
      <xdr:rowOff>39688</xdr:rowOff>
    </xdr:from>
    <xdr:to>
      <xdr:col>2</xdr:col>
      <xdr:colOff>312738</xdr:colOff>
      <xdr:row>77</xdr:row>
      <xdr:rowOff>293688</xdr:rowOff>
    </xdr:to>
    <xdr:pic>
      <xdr:nvPicPr>
        <xdr:cNvPr id="55280" name="Picture 55279">
          <a:extLst>
            <a:ext uri="{FF2B5EF4-FFF2-40B4-BE49-F238E27FC236}">
              <a16:creationId xmlns:a16="http://schemas.microsoft.com/office/drawing/2014/main" id="{CCCC1A85-1D7A-FA43-8970-9A8D4FF430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261096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77</xdr:row>
      <xdr:rowOff>39688</xdr:rowOff>
    </xdr:from>
    <xdr:to>
      <xdr:col>6</xdr:col>
      <xdr:colOff>346075</xdr:colOff>
      <xdr:row>77</xdr:row>
      <xdr:rowOff>293688</xdr:rowOff>
    </xdr:to>
    <xdr:pic>
      <xdr:nvPicPr>
        <xdr:cNvPr id="55283" name="Picture 55282">
          <a:extLst>
            <a:ext uri="{FF2B5EF4-FFF2-40B4-BE49-F238E27FC236}">
              <a16:creationId xmlns:a16="http://schemas.microsoft.com/office/drawing/2014/main" id="{03601EAF-133E-DCBF-1B79-51AF03D23A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261096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78</xdr:row>
      <xdr:rowOff>39688</xdr:rowOff>
    </xdr:from>
    <xdr:to>
      <xdr:col>2</xdr:col>
      <xdr:colOff>312738</xdr:colOff>
      <xdr:row>78</xdr:row>
      <xdr:rowOff>293688</xdr:rowOff>
    </xdr:to>
    <xdr:pic>
      <xdr:nvPicPr>
        <xdr:cNvPr id="55286" name="Picture 55285">
          <a:extLst>
            <a:ext uri="{FF2B5EF4-FFF2-40B4-BE49-F238E27FC236}">
              <a16:creationId xmlns:a16="http://schemas.microsoft.com/office/drawing/2014/main" id="{4EE47B95-047E-E4B1-051D-0B8A1E0907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264429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78</xdr:row>
      <xdr:rowOff>39688</xdr:rowOff>
    </xdr:from>
    <xdr:to>
      <xdr:col>6</xdr:col>
      <xdr:colOff>346075</xdr:colOff>
      <xdr:row>78</xdr:row>
      <xdr:rowOff>293688</xdr:rowOff>
    </xdr:to>
    <xdr:pic>
      <xdr:nvPicPr>
        <xdr:cNvPr id="55289" name="Picture 55288">
          <a:extLst>
            <a:ext uri="{FF2B5EF4-FFF2-40B4-BE49-F238E27FC236}">
              <a16:creationId xmlns:a16="http://schemas.microsoft.com/office/drawing/2014/main" id="{5C428C90-F723-9423-42FD-3116A4CD6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264429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79</xdr:row>
      <xdr:rowOff>39688</xdr:rowOff>
    </xdr:from>
    <xdr:to>
      <xdr:col>2</xdr:col>
      <xdr:colOff>312738</xdr:colOff>
      <xdr:row>79</xdr:row>
      <xdr:rowOff>293688</xdr:rowOff>
    </xdr:to>
    <xdr:pic>
      <xdr:nvPicPr>
        <xdr:cNvPr id="55292" name="Picture 55291">
          <a:extLst>
            <a:ext uri="{FF2B5EF4-FFF2-40B4-BE49-F238E27FC236}">
              <a16:creationId xmlns:a16="http://schemas.microsoft.com/office/drawing/2014/main" id="{35FD2093-BBD6-B365-D4D5-DBA744385D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267763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79</xdr:row>
      <xdr:rowOff>39688</xdr:rowOff>
    </xdr:from>
    <xdr:to>
      <xdr:col>6</xdr:col>
      <xdr:colOff>346075</xdr:colOff>
      <xdr:row>79</xdr:row>
      <xdr:rowOff>293688</xdr:rowOff>
    </xdr:to>
    <xdr:pic>
      <xdr:nvPicPr>
        <xdr:cNvPr id="55295" name="Picture 55294">
          <a:extLst>
            <a:ext uri="{FF2B5EF4-FFF2-40B4-BE49-F238E27FC236}">
              <a16:creationId xmlns:a16="http://schemas.microsoft.com/office/drawing/2014/main" id="{936D17ED-C50E-AD45-DF0C-DF255C753E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267763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80</xdr:row>
      <xdr:rowOff>39688</xdr:rowOff>
    </xdr:from>
    <xdr:to>
      <xdr:col>2</xdr:col>
      <xdr:colOff>312738</xdr:colOff>
      <xdr:row>80</xdr:row>
      <xdr:rowOff>293688</xdr:rowOff>
    </xdr:to>
    <xdr:pic>
      <xdr:nvPicPr>
        <xdr:cNvPr id="55298" name="Picture 55297">
          <a:extLst>
            <a:ext uri="{FF2B5EF4-FFF2-40B4-BE49-F238E27FC236}">
              <a16:creationId xmlns:a16="http://schemas.microsoft.com/office/drawing/2014/main" id="{55929B29-BC1D-30C2-23CD-2591537475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271097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149225</xdr:colOff>
      <xdr:row>80</xdr:row>
      <xdr:rowOff>39688</xdr:rowOff>
    </xdr:from>
    <xdr:to>
      <xdr:col>6</xdr:col>
      <xdr:colOff>288925</xdr:colOff>
      <xdr:row>80</xdr:row>
      <xdr:rowOff>293688</xdr:rowOff>
    </xdr:to>
    <xdr:pic>
      <xdr:nvPicPr>
        <xdr:cNvPr id="55301" name="Picture 55300">
          <a:extLst>
            <a:ext uri="{FF2B5EF4-FFF2-40B4-BE49-F238E27FC236}">
              <a16:creationId xmlns:a16="http://schemas.microsoft.com/office/drawing/2014/main" id="{569EC5F1-0503-7AE0-3443-B261B8E971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450" y="27109738"/>
          <a:ext cx="139700" cy="254000"/>
        </a:xfrm>
        <a:prstGeom prst="rect">
          <a:avLst/>
        </a:prstGeom>
      </xdr:spPr>
    </xdr:pic>
    <xdr:clientData/>
  </xdr:twoCellAnchor>
  <xdr:twoCellAnchor>
    <xdr:from>
      <xdr:col>2</xdr:col>
      <xdr:colOff>82366</xdr:colOff>
      <xdr:row>81</xdr:row>
      <xdr:rowOff>39688</xdr:rowOff>
    </xdr:from>
    <xdr:to>
      <xdr:col>2</xdr:col>
      <xdr:colOff>289110</xdr:colOff>
      <xdr:row>81</xdr:row>
      <xdr:rowOff>293688</xdr:rowOff>
    </xdr:to>
    <xdr:pic>
      <xdr:nvPicPr>
        <xdr:cNvPr id="55304" name="Picture 55303">
          <a:extLst>
            <a:ext uri="{FF2B5EF4-FFF2-40B4-BE49-F238E27FC236}">
              <a16:creationId xmlns:a16="http://schemas.microsoft.com/office/drawing/2014/main" id="{976A6217-F6EF-C1F8-0FFD-218F89A6AC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391" y="27443113"/>
          <a:ext cx="206744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81</xdr:row>
      <xdr:rowOff>39688</xdr:rowOff>
    </xdr:from>
    <xdr:to>
      <xdr:col>6</xdr:col>
      <xdr:colOff>346075</xdr:colOff>
      <xdr:row>81</xdr:row>
      <xdr:rowOff>293688</xdr:rowOff>
    </xdr:to>
    <xdr:pic>
      <xdr:nvPicPr>
        <xdr:cNvPr id="55307" name="Picture 55306">
          <a:extLst>
            <a:ext uri="{FF2B5EF4-FFF2-40B4-BE49-F238E27FC236}">
              <a16:creationId xmlns:a16="http://schemas.microsoft.com/office/drawing/2014/main" id="{3757C5CF-C449-3F46-A391-F0DB813BD5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274431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82</xdr:row>
      <xdr:rowOff>39688</xdr:rowOff>
    </xdr:from>
    <xdr:to>
      <xdr:col>2</xdr:col>
      <xdr:colOff>312738</xdr:colOff>
      <xdr:row>82</xdr:row>
      <xdr:rowOff>293688</xdr:rowOff>
    </xdr:to>
    <xdr:pic>
      <xdr:nvPicPr>
        <xdr:cNvPr id="55310" name="Picture 55309">
          <a:extLst>
            <a:ext uri="{FF2B5EF4-FFF2-40B4-BE49-F238E27FC236}">
              <a16:creationId xmlns:a16="http://schemas.microsoft.com/office/drawing/2014/main" id="{CEC6CB15-1A7E-2F7C-DE54-FF27AB4A6A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277764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108832</xdr:colOff>
      <xdr:row>82</xdr:row>
      <xdr:rowOff>39688</xdr:rowOff>
    </xdr:from>
    <xdr:to>
      <xdr:col>6</xdr:col>
      <xdr:colOff>329318</xdr:colOff>
      <xdr:row>82</xdr:row>
      <xdr:rowOff>293688</xdr:rowOff>
    </xdr:to>
    <xdr:pic>
      <xdr:nvPicPr>
        <xdr:cNvPr id="55313" name="Picture 55312">
          <a:extLst>
            <a:ext uri="{FF2B5EF4-FFF2-40B4-BE49-F238E27FC236}">
              <a16:creationId xmlns:a16="http://schemas.microsoft.com/office/drawing/2014/main" id="{3A464181-4911-78BA-1001-F7D3042B5C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6057" y="27776488"/>
          <a:ext cx="220486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83</xdr:row>
      <xdr:rowOff>39688</xdr:rowOff>
    </xdr:from>
    <xdr:to>
      <xdr:col>2</xdr:col>
      <xdr:colOff>312738</xdr:colOff>
      <xdr:row>83</xdr:row>
      <xdr:rowOff>293688</xdr:rowOff>
    </xdr:to>
    <xdr:pic>
      <xdr:nvPicPr>
        <xdr:cNvPr id="55316" name="Picture 55315">
          <a:extLst>
            <a:ext uri="{FF2B5EF4-FFF2-40B4-BE49-F238E27FC236}">
              <a16:creationId xmlns:a16="http://schemas.microsoft.com/office/drawing/2014/main" id="{A10DF695-AA51-C902-2B03-ECFA154809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281098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66909</xdr:colOff>
      <xdr:row>83</xdr:row>
      <xdr:rowOff>39688</xdr:rowOff>
    </xdr:from>
    <xdr:to>
      <xdr:col>6</xdr:col>
      <xdr:colOff>371241</xdr:colOff>
      <xdr:row>83</xdr:row>
      <xdr:rowOff>293688</xdr:rowOff>
    </xdr:to>
    <xdr:pic>
      <xdr:nvPicPr>
        <xdr:cNvPr id="55319" name="Picture 55318">
          <a:extLst>
            <a:ext uri="{FF2B5EF4-FFF2-40B4-BE49-F238E27FC236}">
              <a16:creationId xmlns:a16="http://schemas.microsoft.com/office/drawing/2014/main" id="{67614E78-F588-5E6F-7003-1C263997B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4134" y="28109863"/>
          <a:ext cx="304332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85</xdr:row>
      <xdr:rowOff>39688</xdr:rowOff>
    </xdr:from>
    <xdr:to>
      <xdr:col>2</xdr:col>
      <xdr:colOff>312738</xdr:colOff>
      <xdr:row>85</xdr:row>
      <xdr:rowOff>293688</xdr:rowOff>
    </xdr:to>
    <xdr:pic>
      <xdr:nvPicPr>
        <xdr:cNvPr id="55322" name="Picture 55321">
          <a:extLst>
            <a:ext uri="{FF2B5EF4-FFF2-40B4-BE49-F238E27FC236}">
              <a16:creationId xmlns:a16="http://schemas.microsoft.com/office/drawing/2014/main" id="{C0F633BB-5008-B36A-F1D5-28E852909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287766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85</xdr:row>
      <xdr:rowOff>39688</xdr:rowOff>
    </xdr:from>
    <xdr:to>
      <xdr:col>6</xdr:col>
      <xdr:colOff>346075</xdr:colOff>
      <xdr:row>85</xdr:row>
      <xdr:rowOff>293688</xdr:rowOff>
    </xdr:to>
    <xdr:pic>
      <xdr:nvPicPr>
        <xdr:cNvPr id="55325" name="Picture 55324">
          <a:extLst>
            <a:ext uri="{FF2B5EF4-FFF2-40B4-BE49-F238E27FC236}">
              <a16:creationId xmlns:a16="http://schemas.microsoft.com/office/drawing/2014/main" id="{B1881044-8F0C-0EC6-259E-80E2C1E1F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287766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86</xdr:row>
      <xdr:rowOff>39688</xdr:rowOff>
    </xdr:from>
    <xdr:to>
      <xdr:col>2</xdr:col>
      <xdr:colOff>312738</xdr:colOff>
      <xdr:row>86</xdr:row>
      <xdr:rowOff>293688</xdr:rowOff>
    </xdr:to>
    <xdr:pic>
      <xdr:nvPicPr>
        <xdr:cNvPr id="55328" name="Picture 55327">
          <a:extLst>
            <a:ext uri="{FF2B5EF4-FFF2-40B4-BE49-F238E27FC236}">
              <a16:creationId xmlns:a16="http://schemas.microsoft.com/office/drawing/2014/main" id="{974B314A-D842-783A-55B6-3A7221329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291099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86</xdr:row>
      <xdr:rowOff>39688</xdr:rowOff>
    </xdr:from>
    <xdr:to>
      <xdr:col>6</xdr:col>
      <xdr:colOff>346075</xdr:colOff>
      <xdr:row>86</xdr:row>
      <xdr:rowOff>293688</xdr:rowOff>
    </xdr:to>
    <xdr:pic>
      <xdr:nvPicPr>
        <xdr:cNvPr id="55331" name="Picture 55330">
          <a:extLst>
            <a:ext uri="{FF2B5EF4-FFF2-40B4-BE49-F238E27FC236}">
              <a16:creationId xmlns:a16="http://schemas.microsoft.com/office/drawing/2014/main" id="{ED562425-786C-9F57-9B59-DC5E8DD14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291099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88</xdr:row>
      <xdr:rowOff>39688</xdr:rowOff>
    </xdr:from>
    <xdr:to>
      <xdr:col>2</xdr:col>
      <xdr:colOff>312738</xdr:colOff>
      <xdr:row>88</xdr:row>
      <xdr:rowOff>293688</xdr:rowOff>
    </xdr:to>
    <xdr:pic>
      <xdr:nvPicPr>
        <xdr:cNvPr id="55334" name="Picture 55333">
          <a:extLst>
            <a:ext uri="{FF2B5EF4-FFF2-40B4-BE49-F238E27FC236}">
              <a16:creationId xmlns:a16="http://schemas.microsoft.com/office/drawing/2014/main" id="{8EDD4E2C-8FBF-A2E5-FEBC-0D8ED7987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297767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88</xdr:row>
      <xdr:rowOff>39688</xdr:rowOff>
    </xdr:from>
    <xdr:to>
      <xdr:col>6</xdr:col>
      <xdr:colOff>346075</xdr:colOff>
      <xdr:row>88</xdr:row>
      <xdr:rowOff>293688</xdr:rowOff>
    </xdr:to>
    <xdr:pic>
      <xdr:nvPicPr>
        <xdr:cNvPr id="55337" name="Picture 55336">
          <a:extLst>
            <a:ext uri="{FF2B5EF4-FFF2-40B4-BE49-F238E27FC236}">
              <a16:creationId xmlns:a16="http://schemas.microsoft.com/office/drawing/2014/main" id="{8E331195-762A-60BF-059A-6CAD6581DF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297767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92</xdr:row>
      <xdr:rowOff>39688</xdr:rowOff>
    </xdr:from>
    <xdr:to>
      <xdr:col>2</xdr:col>
      <xdr:colOff>312738</xdr:colOff>
      <xdr:row>92</xdr:row>
      <xdr:rowOff>293688</xdr:rowOff>
    </xdr:to>
    <xdr:pic>
      <xdr:nvPicPr>
        <xdr:cNvPr id="55340" name="Picture 55339">
          <a:extLst>
            <a:ext uri="{FF2B5EF4-FFF2-40B4-BE49-F238E27FC236}">
              <a16:creationId xmlns:a16="http://schemas.microsoft.com/office/drawing/2014/main" id="{416666E6-AC05-DB81-B38E-6B116F03D1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311769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92</xdr:row>
      <xdr:rowOff>39688</xdr:rowOff>
    </xdr:from>
    <xdr:to>
      <xdr:col>6</xdr:col>
      <xdr:colOff>346075</xdr:colOff>
      <xdr:row>92</xdr:row>
      <xdr:rowOff>293688</xdr:rowOff>
    </xdr:to>
    <xdr:pic>
      <xdr:nvPicPr>
        <xdr:cNvPr id="55343" name="Picture 55342">
          <a:extLst>
            <a:ext uri="{FF2B5EF4-FFF2-40B4-BE49-F238E27FC236}">
              <a16:creationId xmlns:a16="http://schemas.microsoft.com/office/drawing/2014/main" id="{02EFE231-ADD1-532F-95FB-1A6ED0067D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311769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93</xdr:row>
      <xdr:rowOff>39688</xdr:rowOff>
    </xdr:from>
    <xdr:to>
      <xdr:col>2</xdr:col>
      <xdr:colOff>312738</xdr:colOff>
      <xdr:row>93</xdr:row>
      <xdr:rowOff>293688</xdr:rowOff>
    </xdr:to>
    <xdr:pic>
      <xdr:nvPicPr>
        <xdr:cNvPr id="55346" name="Picture 55345">
          <a:extLst>
            <a:ext uri="{FF2B5EF4-FFF2-40B4-BE49-F238E27FC236}">
              <a16:creationId xmlns:a16="http://schemas.microsoft.com/office/drawing/2014/main" id="{CF755647-538D-BBBB-4883-5206EF9D48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315102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108832</xdr:colOff>
      <xdr:row>93</xdr:row>
      <xdr:rowOff>39688</xdr:rowOff>
    </xdr:from>
    <xdr:to>
      <xdr:col>6</xdr:col>
      <xdr:colOff>329318</xdr:colOff>
      <xdr:row>93</xdr:row>
      <xdr:rowOff>293688</xdr:rowOff>
    </xdr:to>
    <xdr:pic>
      <xdr:nvPicPr>
        <xdr:cNvPr id="55349" name="Picture 55348">
          <a:extLst>
            <a:ext uri="{FF2B5EF4-FFF2-40B4-BE49-F238E27FC236}">
              <a16:creationId xmlns:a16="http://schemas.microsoft.com/office/drawing/2014/main" id="{54F4E6B1-03FC-4691-F8D0-D184140A1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6057" y="31510288"/>
          <a:ext cx="220486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94</xdr:row>
      <xdr:rowOff>39688</xdr:rowOff>
    </xdr:from>
    <xdr:to>
      <xdr:col>2</xdr:col>
      <xdr:colOff>312738</xdr:colOff>
      <xdr:row>94</xdr:row>
      <xdr:rowOff>293688</xdr:rowOff>
    </xdr:to>
    <xdr:pic>
      <xdr:nvPicPr>
        <xdr:cNvPr id="55352" name="Picture 55351">
          <a:extLst>
            <a:ext uri="{FF2B5EF4-FFF2-40B4-BE49-F238E27FC236}">
              <a16:creationId xmlns:a16="http://schemas.microsoft.com/office/drawing/2014/main" id="{C558599E-573E-3742-4B5B-DC147A68A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318436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94</xdr:row>
      <xdr:rowOff>39688</xdr:rowOff>
    </xdr:from>
    <xdr:to>
      <xdr:col>6</xdr:col>
      <xdr:colOff>346075</xdr:colOff>
      <xdr:row>94</xdr:row>
      <xdr:rowOff>293688</xdr:rowOff>
    </xdr:to>
    <xdr:pic>
      <xdr:nvPicPr>
        <xdr:cNvPr id="55355" name="Picture 55354">
          <a:extLst>
            <a:ext uri="{FF2B5EF4-FFF2-40B4-BE49-F238E27FC236}">
              <a16:creationId xmlns:a16="http://schemas.microsoft.com/office/drawing/2014/main" id="{7C0EC3D6-EBEA-1B6D-4141-925024316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318436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95</xdr:row>
      <xdr:rowOff>39688</xdr:rowOff>
    </xdr:from>
    <xdr:to>
      <xdr:col>2</xdr:col>
      <xdr:colOff>312738</xdr:colOff>
      <xdr:row>95</xdr:row>
      <xdr:rowOff>293688</xdr:rowOff>
    </xdr:to>
    <xdr:pic>
      <xdr:nvPicPr>
        <xdr:cNvPr id="55358" name="Picture 55357">
          <a:extLst>
            <a:ext uri="{FF2B5EF4-FFF2-40B4-BE49-F238E27FC236}">
              <a16:creationId xmlns:a16="http://schemas.microsoft.com/office/drawing/2014/main" id="{2012887E-5AC1-CAF7-AF51-6372C7BBC3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321770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95</xdr:row>
      <xdr:rowOff>39688</xdr:rowOff>
    </xdr:from>
    <xdr:to>
      <xdr:col>6</xdr:col>
      <xdr:colOff>346075</xdr:colOff>
      <xdr:row>95</xdr:row>
      <xdr:rowOff>293688</xdr:rowOff>
    </xdr:to>
    <xdr:pic>
      <xdr:nvPicPr>
        <xdr:cNvPr id="55361" name="Picture 55360">
          <a:extLst>
            <a:ext uri="{FF2B5EF4-FFF2-40B4-BE49-F238E27FC236}">
              <a16:creationId xmlns:a16="http://schemas.microsoft.com/office/drawing/2014/main" id="{40E76AD7-9F8B-2F84-E82E-E08ED8C9C4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321770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96</xdr:row>
      <xdr:rowOff>39688</xdr:rowOff>
    </xdr:from>
    <xdr:to>
      <xdr:col>2</xdr:col>
      <xdr:colOff>312738</xdr:colOff>
      <xdr:row>96</xdr:row>
      <xdr:rowOff>293688</xdr:rowOff>
    </xdr:to>
    <xdr:pic>
      <xdr:nvPicPr>
        <xdr:cNvPr id="55364" name="Picture 55363">
          <a:extLst>
            <a:ext uri="{FF2B5EF4-FFF2-40B4-BE49-F238E27FC236}">
              <a16:creationId xmlns:a16="http://schemas.microsoft.com/office/drawing/2014/main" id="{817C98EA-183E-CFA2-B8E6-5AF906C04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325104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149225</xdr:colOff>
      <xdr:row>96</xdr:row>
      <xdr:rowOff>39688</xdr:rowOff>
    </xdr:from>
    <xdr:to>
      <xdr:col>6</xdr:col>
      <xdr:colOff>288925</xdr:colOff>
      <xdr:row>96</xdr:row>
      <xdr:rowOff>293688</xdr:rowOff>
    </xdr:to>
    <xdr:pic>
      <xdr:nvPicPr>
        <xdr:cNvPr id="55367" name="Picture 55366">
          <a:extLst>
            <a:ext uri="{FF2B5EF4-FFF2-40B4-BE49-F238E27FC236}">
              <a16:creationId xmlns:a16="http://schemas.microsoft.com/office/drawing/2014/main" id="{4E38D1E9-8D30-3D3D-2C59-7B191C2A7A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450" y="32510413"/>
          <a:ext cx="1397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97</xdr:row>
      <xdr:rowOff>39688</xdr:rowOff>
    </xdr:from>
    <xdr:to>
      <xdr:col>2</xdr:col>
      <xdr:colOff>312738</xdr:colOff>
      <xdr:row>97</xdr:row>
      <xdr:rowOff>293688</xdr:rowOff>
    </xdr:to>
    <xdr:pic>
      <xdr:nvPicPr>
        <xdr:cNvPr id="55370" name="Picture 55369">
          <a:extLst>
            <a:ext uri="{FF2B5EF4-FFF2-40B4-BE49-F238E27FC236}">
              <a16:creationId xmlns:a16="http://schemas.microsoft.com/office/drawing/2014/main" id="{4E9ED8A2-5FBC-BC24-5B2D-3A2E2E8BF0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328437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97</xdr:row>
      <xdr:rowOff>39688</xdr:rowOff>
    </xdr:from>
    <xdr:to>
      <xdr:col>6</xdr:col>
      <xdr:colOff>346075</xdr:colOff>
      <xdr:row>97</xdr:row>
      <xdr:rowOff>293688</xdr:rowOff>
    </xdr:to>
    <xdr:pic>
      <xdr:nvPicPr>
        <xdr:cNvPr id="55373" name="Picture 55372">
          <a:extLst>
            <a:ext uri="{FF2B5EF4-FFF2-40B4-BE49-F238E27FC236}">
              <a16:creationId xmlns:a16="http://schemas.microsoft.com/office/drawing/2014/main" id="{240DF9CC-A5B9-4093-549D-27CD988FD4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328437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82366</xdr:colOff>
      <xdr:row>98</xdr:row>
      <xdr:rowOff>39688</xdr:rowOff>
    </xdr:from>
    <xdr:to>
      <xdr:col>2</xdr:col>
      <xdr:colOff>289110</xdr:colOff>
      <xdr:row>98</xdr:row>
      <xdr:rowOff>293688</xdr:rowOff>
    </xdr:to>
    <xdr:pic>
      <xdr:nvPicPr>
        <xdr:cNvPr id="55376" name="Picture 55375">
          <a:extLst>
            <a:ext uri="{FF2B5EF4-FFF2-40B4-BE49-F238E27FC236}">
              <a16:creationId xmlns:a16="http://schemas.microsoft.com/office/drawing/2014/main" id="{0E12A255-3DD4-1913-5B6A-1014466CED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391" y="33177163"/>
          <a:ext cx="206744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98</xdr:row>
      <xdr:rowOff>39688</xdr:rowOff>
    </xdr:from>
    <xdr:to>
      <xdr:col>6</xdr:col>
      <xdr:colOff>346075</xdr:colOff>
      <xdr:row>98</xdr:row>
      <xdr:rowOff>293688</xdr:rowOff>
    </xdr:to>
    <xdr:pic>
      <xdr:nvPicPr>
        <xdr:cNvPr id="55379" name="Picture 55378">
          <a:extLst>
            <a:ext uri="{FF2B5EF4-FFF2-40B4-BE49-F238E27FC236}">
              <a16:creationId xmlns:a16="http://schemas.microsoft.com/office/drawing/2014/main" id="{3E221A8C-B6A8-EC30-4670-656156592B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331771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99</xdr:row>
      <xdr:rowOff>39688</xdr:rowOff>
    </xdr:from>
    <xdr:to>
      <xdr:col>2</xdr:col>
      <xdr:colOff>312738</xdr:colOff>
      <xdr:row>99</xdr:row>
      <xdr:rowOff>293688</xdr:rowOff>
    </xdr:to>
    <xdr:pic>
      <xdr:nvPicPr>
        <xdr:cNvPr id="55382" name="Picture 55381">
          <a:extLst>
            <a:ext uri="{FF2B5EF4-FFF2-40B4-BE49-F238E27FC236}">
              <a16:creationId xmlns:a16="http://schemas.microsoft.com/office/drawing/2014/main" id="{AF3C2314-91FA-DAA9-1DC5-4062B02A5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335105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66909</xdr:colOff>
      <xdr:row>99</xdr:row>
      <xdr:rowOff>39688</xdr:rowOff>
    </xdr:from>
    <xdr:to>
      <xdr:col>6</xdr:col>
      <xdr:colOff>371241</xdr:colOff>
      <xdr:row>99</xdr:row>
      <xdr:rowOff>293688</xdr:rowOff>
    </xdr:to>
    <xdr:pic>
      <xdr:nvPicPr>
        <xdr:cNvPr id="55385" name="Picture 55384">
          <a:extLst>
            <a:ext uri="{FF2B5EF4-FFF2-40B4-BE49-F238E27FC236}">
              <a16:creationId xmlns:a16="http://schemas.microsoft.com/office/drawing/2014/main" id="{F4F6EC1F-6061-FF14-BFB9-F485DC4A16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4134" y="33510538"/>
          <a:ext cx="304332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100</xdr:row>
      <xdr:rowOff>39688</xdr:rowOff>
    </xdr:from>
    <xdr:to>
      <xdr:col>2</xdr:col>
      <xdr:colOff>312738</xdr:colOff>
      <xdr:row>100</xdr:row>
      <xdr:rowOff>293688</xdr:rowOff>
    </xdr:to>
    <xdr:pic>
      <xdr:nvPicPr>
        <xdr:cNvPr id="55388" name="Picture 55387">
          <a:extLst>
            <a:ext uri="{FF2B5EF4-FFF2-40B4-BE49-F238E27FC236}">
              <a16:creationId xmlns:a16="http://schemas.microsoft.com/office/drawing/2014/main" id="{37ABA8CC-5070-9A6F-B3C6-0D6FE86AA6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338439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100</xdr:row>
      <xdr:rowOff>39688</xdr:rowOff>
    </xdr:from>
    <xdr:to>
      <xdr:col>6</xdr:col>
      <xdr:colOff>346075</xdr:colOff>
      <xdr:row>100</xdr:row>
      <xdr:rowOff>293688</xdr:rowOff>
    </xdr:to>
    <xdr:pic>
      <xdr:nvPicPr>
        <xdr:cNvPr id="55391" name="Picture 55390">
          <a:extLst>
            <a:ext uri="{FF2B5EF4-FFF2-40B4-BE49-F238E27FC236}">
              <a16:creationId xmlns:a16="http://schemas.microsoft.com/office/drawing/2014/main" id="{7D526C79-BFCE-906E-71F8-03C85867EC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338439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101</xdr:row>
      <xdr:rowOff>39688</xdr:rowOff>
    </xdr:from>
    <xdr:to>
      <xdr:col>2</xdr:col>
      <xdr:colOff>312738</xdr:colOff>
      <xdr:row>101</xdr:row>
      <xdr:rowOff>293688</xdr:rowOff>
    </xdr:to>
    <xdr:pic>
      <xdr:nvPicPr>
        <xdr:cNvPr id="55394" name="Picture 55393">
          <a:extLst>
            <a:ext uri="{FF2B5EF4-FFF2-40B4-BE49-F238E27FC236}">
              <a16:creationId xmlns:a16="http://schemas.microsoft.com/office/drawing/2014/main" id="{974134FB-0A87-AD8B-6034-968D3369E6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341772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101</xdr:row>
      <xdr:rowOff>39688</xdr:rowOff>
    </xdr:from>
    <xdr:to>
      <xdr:col>6</xdr:col>
      <xdr:colOff>346075</xdr:colOff>
      <xdr:row>101</xdr:row>
      <xdr:rowOff>293688</xdr:rowOff>
    </xdr:to>
    <xdr:pic>
      <xdr:nvPicPr>
        <xdr:cNvPr id="55397" name="Picture 55396">
          <a:extLst>
            <a:ext uri="{FF2B5EF4-FFF2-40B4-BE49-F238E27FC236}">
              <a16:creationId xmlns:a16="http://schemas.microsoft.com/office/drawing/2014/main" id="{0D7AA248-D785-305A-81F0-1E24360435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341772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105</xdr:row>
      <xdr:rowOff>39688</xdr:rowOff>
    </xdr:from>
    <xdr:to>
      <xdr:col>2</xdr:col>
      <xdr:colOff>312738</xdr:colOff>
      <xdr:row>105</xdr:row>
      <xdr:rowOff>293688</xdr:rowOff>
    </xdr:to>
    <xdr:pic>
      <xdr:nvPicPr>
        <xdr:cNvPr id="55400" name="Picture 55399">
          <a:extLst>
            <a:ext uri="{FF2B5EF4-FFF2-40B4-BE49-F238E27FC236}">
              <a16:creationId xmlns:a16="http://schemas.microsoft.com/office/drawing/2014/main" id="{6C4E6A32-65B9-2342-F0A5-0B71BB70C0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355774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105</xdr:row>
      <xdr:rowOff>39688</xdr:rowOff>
    </xdr:from>
    <xdr:to>
      <xdr:col>6</xdr:col>
      <xdr:colOff>346075</xdr:colOff>
      <xdr:row>105</xdr:row>
      <xdr:rowOff>293688</xdr:rowOff>
    </xdr:to>
    <xdr:pic>
      <xdr:nvPicPr>
        <xdr:cNvPr id="55403" name="Picture 55402">
          <a:extLst>
            <a:ext uri="{FF2B5EF4-FFF2-40B4-BE49-F238E27FC236}">
              <a16:creationId xmlns:a16="http://schemas.microsoft.com/office/drawing/2014/main" id="{FF6A5472-6D3A-BC57-66CA-C0702436C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355774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75495</xdr:colOff>
      <xdr:row>106</xdr:row>
      <xdr:rowOff>39688</xdr:rowOff>
    </xdr:from>
    <xdr:to>
      <xdr:col>2</xdr:col>
      <xdr:colOff>295981</xdr:colOff>
      <xdr:row>106</xdr:row>
      <xdr:rowOff>293688</xdr:rowOff>
    </xdr:to>
    <xdr:pic>
      <xdr:nvPicPr>
        <xdr:cNvPr id="55406" name="Picture 55405">
          <a:extLst>
            <a:ext uri="{FF2B5EF4-FFF2-40B4-BE49-F238E27FC236}">
              <a16:creationId xmlns:a16="http://schemas.microsoft.com/office/drawing/2014/main" id="{934105AD-433A-CE2A-74C3-47B1CCD299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520" y="35910838"/>
          <a:ext cx="220486" cy="254000"/>
        </a:xfrm>
        <a:prstGeom prst="rect">
          <a:avLst/>
        </a:prstGeom>
      </xdr:spPr>
    </xdr:pic>
    <xdr:clientData/>
  </xdr:twoCellAnchor>
  <xdr:twoCellAnchor>
    <xdr:from>
      <xdr:col>6</xdr:col>
      <xdr:colOff>115703</xdr:colOff>
      <xdr:row>106</xdr:row>
      <xdr:rowOff>39688</xdr:rowOff>
    </xdr:from>
    <xdr:to>
      <xdr:col>6</xdr:col>
      <xdr:colOff>322447</xdr:colOff>
      <xdr:row>106</xdr:row>
      <xdr:rowOff>293688</xdr:rowOff>
    </xdr:to>
    <xdr:pic>
      <xdr:nvPicPr>
        <xdr:cNvPr id="55409" name="Picture 55408">
          <a:extLst>
            <a:ext uri="{FF2B5EF4-FFF2-40B4-BE49-F238E27FC236}">
              <a16:creationId xmlns:a16="http://schemas.microsoft.com/office/drawing/2014/main" id="{7F858E83-6076-6E6F-182D-226F9BB48C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928" y="35910838"/>
          <a:ext cx="206744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107</xdr:row>
      <xdr:rowOff>39688</xdr:rowOff>
    </xdr:from>
    <xdr:to>
      <xdr:col>2</xdr:col>
      <xdr:colOff>312738</xdr:colOff>
      <xdr:row>107</xdr:row>
      <xdr:rowOff>293688</xdr:rowOff>
    </xdr:to>
    <xdr:pic>
      <xdr:nvPicPr>
        <xdr:cNvPr id="55412" name="Picture 55411">
          <a:extLst>
            <a:ext uri="{FF2B5EF4-FFF2-40B4-BE49-F238E27FC236}">
              <a16:creationId xmlns:a16="http://schemas.microsoft.com/office/drawing/2014/main" id="{217D0A87-4098-27BD-88AB-D3D3628DE1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362442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107</xdr:row>
      <xdr:rowOff>39688</xdr:rowOff>
    </xdr:from>
    <xdr:to>
      <xdr:col>6</xdr:col>
      <xdr:colOff>346075</xdr:colOff>
      <xdr:row>107</xdr:row>
      <xdr:rowOff>293688</xdr:rowOff>
    </xdr:to>
    <xdr:pic>
      <xdr:nvPicPr>
        <xdr:cNvPr id="55415" name="Picture 55414">
          <a:extLst>
            <a:ext uri="{FF2B5EF4-FFF2-40B4-BE49-F238E27FC236}">
              <a16:creationId xmlns:a16="http://schemas.microsoft.com/office/drawing/2014/main" id="{812B76FD-C45C-4DD6-13CE-81F743EEB1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362442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108</xdr:row>
      <xdr:rowOff>39688</xdr:rowOff>
    </xdr:from>
    <xdr:to>
      <xdr:col>2</xdr:col>
      <xdr:colOff>312738</xdr:colOff>
      <xdr:row>108</xdr:row>
      <xdr:rowOff>293688</xdr:rowOff>
    </xdr:to>
    <xdr:pic>
      <xdr:nvPicPr>
        <xdr:cNvPr id="55418" name="Picture 55417">
          <a:extLst>
            <a:ext uri="{FF2B5EF4-FFF2-40B4-BE49-F238E27FC236}">
              <a16:creationId xmlns:a16="http://schemas.microsoft.com/office/drawing/2014/main" id="{17BF9C1B-589B-C02A-065A-A88EA1D58B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365775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108</xdr:row>
      <xdr:rowOff>39688</xdr:rowOff>
    </xdr:from>
    <xdr:to>
      <xdr:col>6</xdr:col>
      <xdr:colOff>346075</xdr:colOff>
      <xdr:row>108</xdr:row>
      <xdr:rowOff>293688</xdr:rowOff>
    </xdr:to>
    <xdr:pic>
      <xdr:nvPicPr>
        <xdr:cNvPr id="55421" name="Picture 55420">
          <a:extLst>
            <a:ext uri="{FF2B5EF4-FFF2-40B4-BE49-F238E27FC236}">
              <a16:creationId xmlns:a16="http://schemas.microsoft.com/office/drawing/2014/main" id="{23014D4B-C44A-526C-F800-226D396E91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365775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115888</xdr:colOff>
      <xdr:row>109</xdr:row>
      <xdr:rowOff>39688</xdr:rowOff>
    </xdr:from>
    <xdr:to>
      <xdr:col>2</xdr:col>
      <xdr:colOff>255588</xdr:colOff>
      <xdr:row>109</xdr:row>
      <xdr:rowOff>293688</xdr:rowOff>
    </xdr:to>
    <xdr:pic>
      <xdr:nvPicPr>
        <xdr:cNvPr id="55424" name="Picture 55423">
          <a:extLst>
            <a:ext uri="{FF2B5EF4-FFF2-40B4-BE49-F238E27FC236}">
              <a16:creationId xmlns:a16="http://schemas.microsoft.com/office/drawing/2014/main" id="{D34E62D3-4747-5DF2-D06D-21CDC2FD5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3913" y="36910963"/>
          <a:ext cx="1397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109</xdr:row>
      <xdr:rowOff>39688</xdr:rowOff>
    </xdr:from>
    <xdr:to>
      <xdr:col>6</xdr:col>
      <xdr:colOff>346075</xdr:colOff>
      <xdr:row>109</xdr:row>
      <xdr:rowOff>293688</xdr:rowOff>
    </xdr:to>
    <xdr:pic>
      <xdr:nvPicPr>
        <xdr:cNvPr id="55427" name="Picture 55426">
          <a:extLst>
            <a:ext uri="{FF2B5EF4-FFF2-40B4-BE49-F238E27FC236}">
              <a16:creationId xmlns:a16="http://schemas.microsoft.com/office/drawing/2014/main" id="{9B70DF27-90A7-B7B7-BEF8-83623DD79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369109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110</xdr:row>
      <xdr:rowOff>39688</xdr:rowOff>
    </xdr:from>
    <xdr:to>
      <xdr:col>2</xdr:col>
      <xdr:colOff>312738</xdr:colOff>
      <xdr:row>110</xdr:row>
      <xdr:rowOff>293688</xdr:rowOff>
    </xdr:to>
    <xdr:pic>
      <xdr:nvPicPr>
        <xdr:cNvPr id="55430" name="Picture 55429">
          <a:extLst>
            <a:ext uri="{FF2B5EF4-FFF2-40B4-BE49-F238E27FC236}">
              <a16:creationId xmlns:a16="http://schemas.microsoft.com/office/drawing/2014/main" id="{4076A2E9-5FFC-AE2D-FFFB-A2C314979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372443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110</xdr:row>
      <xdr:rowOff>39688</xdr:rowOff>
    </xdr:from>
    <xdr:to>
      <xdr:col>6</xdr:col>
      <xdr:colOff>346075</xdr:colOff>
      <xdr:row>110</xdr:row>
      <xdr:rowOff>293688</xdr:rowOff>
    </xdr:to>
    <xdr:pic>
      <xdr:nvPicPr>
        <xdr:cNvPr id="55433" name="Picture 55432">
          <a:extLst>
            <a:ext uri="{FF2B5EF4-FFF2-40B4-BE49-F238E27FC236}">
              <a16:creationId xmlns:a16="http://schemas.microsoft.com/office/drawing/2014/main" id="{3D520E33-CEDF-0089-F756-F8AB91D8C2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372443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111</xdr:row>
      <xdr:rowOff>39688</xdr:rowOff>
    </xdr:from>
    <xdr:to>
      <xdr:col>2</xdr:col>
      <xdr:colOff>312738</xdr:colOff>
      <xdr:row>111</xdr:row>
      <xdr:rowOff>293688</xdr:rowOff>
    </xdr:to>
    <xdr:pic>
      <xdr:nvPicPr>
        <xdr:cNvPr id="55436" name="Picture 55435">
          <a:extLst>
            <a:ext uri="{FF2B5EF4-FFF2-40B4-BE49-F238E27FC236}">
              <a16:creationId xmlns:a16="http://schemas.microsoft.com/office/drawing/2014/main" id="{C80011C9-A409-01E1-F9E7-3B76F81B38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375777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111</xdr:row>
      <xdr:rowOff>39688</xdr:rowOff>
    </xdr:from>
    <xdr:to>
      <xdr:col>6</xdr:col>
      <xdr:colOff>346075</xdr:colOff>
      <xdr:row>111</xdr:row>
      <xdr:rowOff>293688</xdr:rowOff>
    </xdr:to>
    <xdr:pic>
      <xdr:nvPicPr>
        <xdr:cNvPr id="55439" name="Picture 55438">
          <a:extLst>
            <a:ext uri="{FF2B5EF4-FFF2-40B4-BE49-F238E27FC236}">
              <a16:creationId xmlns:a16="http://schemas.microsoft.com/office/drawing/2014/main" id="{3E072FD0-E0EF-071C-3199-CF731C6830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375777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112</xdr:row>
      <xdr:rowOff>39688</xdr:rowOff>
    </xdr:from>
    <xdr:to>
      <xdr:col>2</xdr:col>
      <xdr:colOff>312738</xdr:colOff>
      <xdr:row>112</xdr:row>
      <xdr:rowOff>293688</xdr:rowOff>
    </xdr:to>
    <xdr:pic>
      <xdr:nvPicPr>
        <xdr:cNvPr id="55442" name="Picture 55441">
          <a:extLst>
            <a:ext uri="{FF2B5EF4-FFF2-40B4-BE49-F238E27FC236}">
              <a16:creationId xmlns:a16="http://schemas.microsoft.com/office/drawing/2014/main" id="{BB037EBA-D4DE-EF59-4B65-2B5E5C0C3A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379110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112</xdr:row>
      <xdr:rowOff>39688</xdr:rowOff>
    </xdr:from>
    <xdr:to>
      <xdr:col>6</xdr:col>
      <xdr:colOff>346075</xdr:colOff>
      <xdr:row>112</xdr:row>
      <xdr:rowOff>293688</xdr:rowOff>
    </xdr:to>
    <xdr:pic>
      <xdr:nvPicPr>
        <xdr:cNvPr id="55445" name="Picture 55444">
          <a:extLst>
            <a:ext uri="{FF2B5EF4-FFF2-40B4-BE49-F238E27FC236}">
              <a16:creationId xmlns:a16="http://schemas.microsoft.com/office/drawing/2014/main" id="{4E085215-DE80-2EE9-529D-20930D282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379110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33572</xdr:colOff>
      <xdr:row>113</xdr:row>
      <xdr:rowOff>39688</xdr:rowOff>
    </xdr:from>
    <xdr:to>
      <xdr:col>2</xdr:col>
      <xdr:colOff>337904</xdr:colOff>
      <xdr:row>113</xdr:row>
      <xdr:rowOff>293688</xdr:rowOff>
    </xdr:to>
    <xdr:pic>
      <xdr:nvPicPr>
        <xdr:cNvPr id="55448" name="Picture 55447">
          <a:extLst>
            <a:ext uri="{FF2B5EF4-FFF2-40B4-BE49-F238E27FC236}">
              <a16:creationId xmlns:a16="http://schemas.microsoft.com/office/drawing/2014/main" id="{A12D2039-E24E-F34E-2356-F77AAA70B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597" y="38244463"/>
          <a:ext cx="304332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113</xdr:row>
      <xdr:rowOff>39688</xdr:rowOff>
    </xdr:from>
    <xdr:to>
      <xdr:col>6</xdr:col>
      <xdr:colOff>346075</xdr:colOff>
      <xdr:row>113</xdr:row>
      <xdr:rowOff>293688</xdr:rowOff>
    </xdr:to>
    <xdr:pic>
      <xdr:nvPicPr>
        <xdr:cNvPr id="55451" name="Picture 55450">
          <a:extLst>
            <a:ext uri="{FF2B5EF4-FFF2-40B4-BE49-F238E27FC236}">
              <a16:creationId xmlns:a16="http://schemas.microsoft.com/office/drawing/2014/main" id="{C05C2218-E7AB-5B44-2BEC-32E546EDF2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382444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114</xdr:row>
      <xdr:rowOff>39688</xdr:rowOff>
    </xdr:from>
    <xdr:to>
      <xdr:col>2</xdr:col>
      <xdr:colOff>312738</xdr:colOff>
      <xdr:row>114</xdr:row>
      <xdr:rowOff>293688</xdr:rowOff>
    </xdr:to>
    <xdr:pic>
      <xdr:nvPicPr>
        <xdr:cNvPr id="55454" name="Picture 55453">
          <a:extLst>
            <a:ext uri="{FF2B5EF4-FFF2-40B4-BE49-F238E27FC236}">
              <a16:creationId xmlns:a16="http://schemas.microsoft.com/office/drawing/2014/main" id="{829484A7-73A3-0A78-43D3-F7D4CEB9EF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385778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114</xdr:row>
      <xdr:rowOff>39688</xdr:rowOff>
    </xdr:from>
    <xdr:to>
      <xdr:col>6</xdr:col>
      <xdr:colOff>346075</xdr:colOff>
      <xdr:row>114</xdr:row>
      <xdr:rowOff>293688</xdr:rowOff>
    </xdr:to>
    <xdr:pic>
      <xdr:nvPicPr>
        <xdr:cNvPr id="55457" name="Picture 55456">
          <a:extLst>
            <a:ext uri="{FF2B5EF4-FFF2-40B4-BE49-F238E27FC236}">
              <a16:creationId xmlns:a16="http://schemas.microsoft.com/office/drawing/2014/main" id="{C7885F74-783F-831C-9F71-DCC106A64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385778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118</xdr:row>
      <xdr:rowOff>39688</xdr:rowOff>
    </xdr:from>
    <xdr:to>
      <xdr:col>2</xdr:col>
      <xdr:colOff>312738</xdr:colOff>
      <xdr:row>118</xdr:row>
      <xdr:rowOff>293688</xdr:rowOff>
    </xdr:to>
    <xdr:pic>
      <xdr:nvPicPr>
        <xdr:cNvPr id="55460" name="Picture 55459">
          <a:extLst>
            <a:ext uri="{FF2B5EF4-FFF2-40B4-BE49-F238E27FC236}">
              <a16:creationId xmlns:a16="http://schemas.microsoft.com/office/drawing/2014/main" id="{7ECADD44-EFC2-F8C4-67C8-2E47E6C115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399780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118</xdr:row>
      <xdr:rowOff>39688</xdr:rowOff>
    </xdr:from>
    <xdr:to>
      <xdr:col>6</xdr:col>
      <xdr:colOff>346075</xdr:colOff>
      <xdr:row>118</xdr:row>
      <xdr:rowOff>293688</xdr:rowOff>
    </xdr:to>
    <xdr:pic>
      <xdr:nvPicPr>
        <xdr:cNvPr id="55463" name="Picture 55462">
          <a:extLst>
            <a:ext uri="{FF2B5EF4-FFF2-40B4-BE49-F238E27FC236}">
              <a16:creationId xmlns:a16="http://schemas.microsoft.com/office/drawing/2014/main" id="{FFEB9DF7-7B10-2306-8160-843BCD22DB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399780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119</xdr:row>
      <xdr:rowOff>39688</xdr:rowOff>
    </xdr:from>
    <xdr:to>
      <xdr:col>2</xdr:col>
      <xdr:colOff>312738</xdr:colOff>
      <xdr:row>119</xdr:row>
      <xdr:rowOff>293688</xdr:rowOff>
    </xdr:to>
    <xdr:pic>
      <xdr:nvPicPr>
        <xdr:cNvPr id="55466" name="Picture 55465">
          <a:extLst>
            <a:ext uri="{FF2B5EF4-FFF2-40B4-BE49-F238E27FC236}">
              <a16:creationId xmlns:a16="http://schemas.microsoft.com/office/drawing/2014/main" id="{C38EC6ED-86E0-47E3-5213-1A8C66118E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03113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119</xdr:row>
      <xdr:rowOff>39688</xdr:rowOff>
    </xdr:from>
    <xdr:to>
      <xdr:col>6</xdr:col>
      <xdr:colOff>346075</xdr:colOff>
      <xdr:row>119</xdr:row>
      <xdr:rowOff>293688</xdr:rowOff>
    </xdr:to>
    <xdr:pic>
      <xdr:nvPicPr>
        <xdr:cNvPr id="55469" name="Picture 55468">
          <a:extLst>
            <a:ext uri="{FF2B5EF4-FFF2-40B4-BE49-F238E27FC236}">
              <a16:creationId xmlns:a16="http://schemas.microsoft.com/office/drawing/2014/main" id="{5946963B-3221-61CE-2BBB-CAEB110521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03113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120</xdr:row>
      <xdr:rowOff>39688</xdr:rowOff>
    </xdr:from>
    <xdr:to>
      <xdr:col>2</xdr:col>
      <xdr:colOff>312738</xdr:colOff>
      <xdr:row>120</xdr:row>
      <xdr:rowOff>293688</xdr:rowOff>
    </xdr:to>
    <xdr:pic>
      <xdr:nvPicPr>
        <xdr:cNvPr id="55472" name="Picture 55471">
          <a:extLst>
            <a:ext uri="{FF2B5EF4-FFF2-40B4-BE49-F238E27FC236}">
              <a16:creationId xmlns:a16="http://schemas.microsoft.com/office/drawing/2014/main" id="{9EF18A5B-407E-4666-1780-5CFC977C05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06447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120</xdr:row>
      <xdr:rowOff>39688</xdr:rowOff>
    </xdr:from>
    <xdr:to>
      <xdr:col>6</xdr:col>
      <xdr:colOff>346075</xdr:colOff>
      <xdr:row>120</xdr:row>
      <xdr:rowOff>293688</xdr:rowOff>
    </xdr:to>
    <xdr:pic>
      <xdr:nvPicPr>
        <xdr:cNvPr id="55475" name="Picture 55474">
          <a:extLst>
            <a:ext uri="{FF2B5EF4-FFF2-40B4-BE49-F238E27FC236}">
              <a16:creationId xmlns:a16="http://schemas.microsoft.com/office/drawing/2014/main" id="{1FCCD0A8-C665-E36D-B715-CFBEF61850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06447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121</xdr:row>
      <xdr:rowOff>39688</xdr:rowOff>
    </xdr:from>
    <xdr:to>
      <xdr:col>2</xdr:col>
      <xdr:colOff>312738</xdr:colOff>
      <xdr:row>121</xdr:row>
      <xdr:rowOff>293688</xdr:rowOff>
    </xdr:to>
    <xdr:pic>
      <xdr:nvPicPr>
        <xdr:cNvPr id="55478" name="Picture 55477">
          <a:extLst>
            <a:ext uri="{FF2B5EF4-FFF2-40B4-BE49-F238E27FC236}">
              <a16:creationId xmlns:a16="http://schemas.microsoft.com/office/drawing/2014/main" id="{97E622ED-FD71-0C8F-69F2-0154B0BB1C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09781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149225</xdr:colOff>
      <xdr:row>121</xdr:row>
      <xdr:rowOff>39688</xdr:rowOff>
    </xdr:from>
    <xdr:to>
      <xdr:col>6</xdr:col>
      <xdr:colOff>288925</xdr:colOff>
      <xdr:row>121</xdr:row>
      <xdr:rowOff>293688</xdr:rowOff>
    </xdr:to>
    <xdr:pic>
      <xdr:nvPicPr>
        <xdr:cNvPr id="55481" name="Picture 55480">
          <a:extLst>
            <a:ext uri="{FF2B5EF4-FFF2-40B4-BE49-F238E27FC236}">
              <a16:creationId xmlns:a16="http://schemas.microsoft.com/office/drawing/2014/main" id="{8FF4E102-234D-AB5D-3E11-7BCEE5034C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450" y="40978138"/>
          <a:ext cx="1397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122</xdr:row>
      <xdr:rowOff>39688</xdr:rowOff>
    </xdr:from>
    <xdr:to>
      <xdr:col>2</xdr:col>
      <xdr:colOff>312738</xdr:colOff>
      <xdr:row>122</xdr:row>
      <xdr:rowOff>293688</xdr:rowOff>
    </xdr:to>
    <xdr:pic>
      <xdr:nvPicPr>
        <xdr:cNvPr id="55484" name="Picture 55483">
          <a:extLst>
            <a:ext uri="{FF2B5EF4-FFF2-40B4-BE49-F238E27FC236}">
              <a16:creationId xmlns:a16="http://schemas.microsoft.com/office/drawing/2014/main" id="{961AC26F-8CC1-7B33-5690-A57BB44A43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13115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66909</xdr:colOff>
      <xdr:row>122</xdr:row>
      <xdr:rowOff>39688</xdr:rowOff>
    </xdr:from>
    <xdr:to>
      <xdr:col>6</xdr:col>
      <xdr:colOff>371241</xdr:colOff>
      <xdr:row>122</xdr:row>
      <xdr:rowOff>293688</xdr:rowOff>
    </xdr:to>
    <xdr:pic>
      <xdr:nvPicPr>
        <xdr:cNvPr id="55487" name="Picture 55486">
          <a:extLst>
            <a:ext uri="{FF2B5EF4-FFF2-40B4-BE49-F238E27FC236}">
              <a16:creationId xmlns:a16="http://schemas.microsoft.com/office/drawing/2014/main" id="{837EAE3B-0F3A-6558-8F9F-221582205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4134" y="41311513"/>
          <a:ext cx="304332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123</xdr:row>
      <xdr:rowOff>39688</xdr:rowOff>
    </xdr:from>
    <xdr:to>
      <xdr:col>2</xdr:col>
      <xdr:colOff>312738</xdr:colOff>
      <xdr:row>123</xdr:row>
      <xdr:rowOff>293688</xdr:rowOff>
    </xdr:to>
    <xdr:pic>
      <xdr:nvPicPr>
        <xdr:cNvPr id="55490" name="Picture 55489">
          <a:extLst>
            <a:ext uri="{FF2B5EF4-FFF2-40B4-BE49-F238E27FC236}">
              <a16:creationId xmlns:a16="http://schemas.microsoft.com/office/drawing/2014/main" id="{CF3D3D14-ACFA-CCF8-BF3C-1DF177CB30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16448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123</xdr:row>
      <xdr:rowOff>39688</xdr:rowOff>
    </xdr:from>
    <xdr:to>
      <xdr:col>6</xdr:col>
      <xdr:colOff>346075</xdr:colOff>
      <xdr:row>123</xdr:row>
      <xdr:rowOff>293688</xdr:rowOff>
    </xdr:to>
    <xdr:pic>
      <xdr:nvPicPr>
        <xdr:cNvPr id="55493" name="Picture 55492">
          <a:extLst>
            <a:ext uri="{FF2B5EF4-FFF2-40B4-BE49-F238E27FC236}">
              <a16:creationId xmlns:a16="http://schemas.microsoft.com/office/drawing/2014/main" id="{BB901BFB-74BC-A59C-83A8-D8CACC712B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16448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82366</xdr:colOff>
      <xdr:row>124</xdr:row>
      <xdr:rowOff>39688</xdr:rowOff>
    </xdr:from>
    <xdr:to>
      <xdr:col>2</xdr:col>
      <xdr:colOff>289110</xdr:colOff>
      <xdr:row>124</xdr:row>
      <xdr:rowOff>293688</xdr:rowOff>
    </xdr:to>
    <xdr:pic>
      <xdr:nvPicPr>
        <xdr:cNvPr id="55496" name="Picture 55495">
          <a:extLst>
            <a:ext uri="{FF2B5EF4-FFF2-40B4-BE49-F238E27FC236}">
              <a16:creationId xmlns:a16="http://schemas.microsoft.com/office/drawing/2014/main" id="{713ABF8F-7086-6E40-9F61-EBDAE8C370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391" y="41978263"/>
          <a:ext cx="206744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124</xdr:row>
      <xdr:rowOff>39688</xdr:rowOff>
    </xdr:from>
    <xdr:to>
      <xdr:col>6</xdr:col>
      <xdr:colOff>346075</xdr:colOff>
      <xdr:row>124</xdr:row>
      <xdr:rowOff>293688</xdr:rowOff>
    </xdr:to>
    <xdr:pic>
      <xdr:nvPicPr>
        <xdr:cNvPr id="55499" name="Picture 55498">
          <a:extLst>
            <a:ext uri="{FF2B5EF4-FFF2-40B4-BE49-F238E27FC236}">
              <a16:creationId xmlns:a16="http://schemas.microsoft.com/office/drawing/2014/main" id="{CF727DF0-3726-2A9E-168C-8DF670A801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19782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125</xdr:row>
      <xdr:rowOff>39688</xdr:rowOff>
    </xdr:from>
    <xdr:to>
      <xdr:col>2</xdr:col>
      <xdr:colOff>312738</xdr:colOff>
      <xdr:row>125</xdr:row>
      <xdr:rowOff>293688</xdr:rowOff>
    </xdr:to>
    <xdr:pic>
      <xdr:nvPicPr>
        <xdr:cNvPr id="55502" name="Picture 55501">
          <a:extLst>
            <a:ext uri="{FF2B5EF4-FFF2-40B4-BE49-F238E27FC236}">
              <a16:creationId xmlns:a16="http://schemas.microsoft.com/office/drawing/2014/main" id="{BE61E342-B27D-4185-3171-75D100A28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23116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125</xdr:row>
      <xdr:rowOff>39688</xdr:rowOff>
    </xdr:from>
    <xdr:to>
      <xdr:col>6</xdr:col>
      <xdr:colOff>346075</xdr:colOff>
      <xdr:row>125</xdr:row>
      <xdr:rowOff>293688</xdr:rowOff>
    </xdr:to>
    <xdr:pic>
      <xdr:nvPicPr>
        <xdr:cNvPr id="55505" name="Picture 55504">
          <a:extLst>
            <a:ext uri="{FF2B5EF4-FFF2-40B4-BE49-F238E27FC236}">
              <a16:creationId xmlns:a16="http://schemas.microsoft.com/office/drawing/2014/main" id="{76DC4981-8AE6-EAC5-86F5-C1A59B544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23116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126</xdr:row>
      <xdr:rowOff>39688</xdr:rowOff>
    </xdr:from>
    <xdr:to>
      <xdr:col>2</xdr:col>
      <xdr:colOff>312738</xdr:colOff>
      <xdr:row>126</xdr:row>
      <xdr:rowOff>293688</xdr:rowOff>
    </xdr:to>
    <xdr:pic>
      <xdr:nvPicPr>
        <xdr:cNvPr id="55508" name="Picture 55507">
          <a:extLst>
            <a:ext uri="{FF2B5EF4-FFF2-40B4-BE49-F238E27FC236}">
              <a16:creationId xmlns:a16="http://schemas.microsoft.com/office/drawing/2014/main" id="{598C5E66-B566-9E11-532E-3EC78DF5A2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26450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126</xdr:row>
      <xdr:rowOff>39688</xdr:rowOff>
    </xdr:from>
    <xdr:to>
      <xdr:col>6</xdr:col>
      <xdr:colOff>346075</xdr:colOff>
      <xdr:row>126</xdr:row>
      <xdr:rowOff>293688</xdr:rowOff>
    </xdr:to>
    <xdr:pic>
      <xdr:nvPicPr>
        <xdr:cNvPr id="55511" name="Picture 55510">
          <a:extLst>
            <a:ext uri="{FF2B5EF4-FFF2-40B4-BE49-F238E27FC236}">
              <a16:creationId xmlns:a16="http://schemas.microsoft.com/office/drawing/2014/main" id="{968F9781-940E-C8C7-5BE0-AAEB551D9B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26450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127</xdr:row>
      <xdr:rowOff>39688</xdr:rowOff>
    </xdr:from>
    <xdr:to>
      <xdr:col>2</xdr:col>
      <xdr:colOff>312738</xdr:colOff>
      <xdr:row>127</xdr:row>
      <xdr:rowOff>293688</xdr:rowOff>
    </xdr:to>
    <xdr:pic>
      <xdr:nvPicPr>
        <xdr:cNvPr id="55514" name="Picture 55513">
          <a:extLst>
            <a:ext uri="{FF2B5EF4-FFF2-40B4-BE49-F238E27FC236}">
              <a16:creationId xmlns:a16="http://schemas.microsoft.com/office/drawing/2014/main" id="{3C25A4B4-0BE0-E305-E6B2-E817B6A57C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29783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108832</xdr:colOff>
      <xdr:row>127</xdr:row>
      <xdr:rowOff>39688</xdr:rowOff>
    </xdr:from>
    <xdr:to>
      <xdr:col>6</xdr:col>
      <xdr:colOff>329318</xdr:colOff>
      <xdr:row>127</xdr:row>
      <xdr:rowOff>293688</xdr:rowOff>
    </xdr:to>
    <xdr:pic>
      <xdr:nvPicPr>
        <xdr:cNvPr id="55517" name="Picture 55516">
          <a:extLst>
            <a:ext uri="{FF2B5EF4-FFF2-40B4-BE49-F238E27FC236}">
              <a16:creationId xmlns:a16="http://schemas.microsoft.com/office/drawing/2014/main" id="{A990F3AC-B60D-C725-4026-C385AE2B53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6057" y="42978388"/>
          <a:ext cx="220486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131</xdr:row>
      <xdr:rowOff>39688</xdr:rowOff>
    </xdr:from>
    <xdr:to>
      <xdr:col>2</xdr:col>
      <xdr:colOff>312738</xdr:colOff>
      <xdr:row>131</xdr:row>
      <xdr:rowOff>293688</xdr:rowOff>
    </xdr:to>
    <xdr:pic>
      <xdr:nvPicPr>
        <xdr:cNvPr id="55520" name="Picture 55519">
          <a:extLst>
            <a:ext uri="{FF2B5EF4-FFF2-40B4-BE49-F238E27FC236}">
              <a16:creationId xmlns:a16="http://schemas.microsoft.com/office/drawing/2014/main" id="{E0BFDF0E-B21E-EB93-1433-8E06BFE03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43785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115703</xdr:colOff>
      <xdr:row>131</xdr:row>
      <xdr:rowOff>39688</xdr:rowOff>
    </xdr:from>
    <xdr:to>
      <xdr:col>6</xdr:col>
      <xdr:colOff>322447</xdr:colOff>
      <xdr:row>131</xdr:row>
      <xdr:rowOff>293688</xdr:rowOff>
    </xdr:to>
    <xdr:pic>
      <xdr:nvPicPr>
        <xdr:cNvPr id="55523" name="Picture 55522">
          <a:extLst>
            <a:ext uri="{FF2B5EF4-FFF2-40B4-BE49-F238E27FC236}">
              <a16:creationId xmlns:a16="http://schemas.microsoft.com/office/drawing/2014/main" id="{68E9F449-19F3-08CC-2BDA-2501D7713B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928" y="44378563"/>
          <a:ext cx="206744" cy="254000"/>
        </a:xfrm>
        <a:prstGeom prst="rect">
          <a:avLst/>
        </a:prstGeom>
      </xdr:spPr>
    </xdr:pic>
    <xdr:clientData/>
  </xdr:twoCellAnchor>
  <xdr:twoCellAnchor>
    <xdr:from>
      <xdr:col>2</xdr:col>
      <xdr:colOff>75495</xdr:colOff>
      <xdr:row>132</xdr:row>
      <xdr:rowOff>39688</xdr:rowOff>
    </xdr:from>
    <xdr:to>
      <xdr:col>2</xdr:col>
      <xdr:colOff>295981</xdr:colOff>
      <xdr:row>132</xdr:row>
      <xdr:rowOff>293688</xdr:rowOff>
    </xdr:to>
    <xdr:pic>
      <xdr:nvPicPr>
        <xdr:cNvPr id="55526" name="Picture 55525">
          <a:extLst>
            <a:ext uri="{FF2B5EF4-FFF2-40B4-BE49-F238E27FC236}">
              <a16:creationId xmlns:a16="http://schemas.microsoft.com/office/drawing/2014/main" id="{FC230064-2419-1F9D-801E-6091A4AE3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520" y="44711938"/>
          <a:ext cx="220486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132</xdr:row>
      <xdr:rowOff>39688</xdr:rowOff>
    </xdr:from>
    <xdr:to>
      <xdr:col>6</xdr:col>
      <xdr:colOff>346075</xdr:colOff>
      <xdr:row>132</xdr:row>
      <xdr:rowOff>293688</xdr:rowOff>
    </xdr:to>
    <xdr:pic>
      <xdr:nvPicPr>
        <xdr:cNvPr id="55529" name="Picture 55528">
          <a:extLst>
            <a:ext uri="{FF2B5EF4-FFF2-40B4-BE49-F238E27FC236}">
              <a16:creationId xmlns:a16="http://schemas.microsoft.com/office/drawing/2014/main" id="{F034C980-3256-A42B-C46D-937515720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47119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133</xdr:row>
      <xdr:rowOff>39688</xdr:rowOff>
    </xdr:from>
    <xdr:to>
      <xdr:col>2</xdr:col>
      <xdr:colOff>312738</xdr:colOff>
      <xdr:row>133</xdr:row>
      <xdr:rowOff>293688</xdr:rowOff>
    </xdr:to>
    <xdr:pic>
      <xdr:nvPicPr>
        <xdr:cNvPr id="55532" name="Picture 55531">
          <a:extLst>
            <a:ext uri="{FF2B5EF4-FFF2-40B4-BE49-F238E27FC236}">
              <a16:creationId xmlns:a16="http://schemas.microsoft.com/office/drawing/2014/main" id="{8B3C7B50-EBF9-4359-74D8-9FF6D70CC2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50453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133</xdr:row>
      <xdr:rowOff>39688</xdr:rowOff>
    </xdr:from>
    <xdr:to>
      <xdr:col>6</xdr:col>
      <xdr:colOff>346075</xdr:colOff>
      <xdr:row>133</xdr:row>
      <xdr:rowOff>293688</xdr:rowOff>
    </xdr:to>
    <xdr:pic>
      <xdr:nvPicPr>
        <xdr:cNvPr id="55535" name="Picture 55534">
          <a:extLst>
            <a:ext uri="{FF2B5EF4-FFF2-40B4-BE49-F238E27FC236}">
              <a16:creationId xmlns:a16="http://schemas.microsoft.com/office/drawing/2014/main" id="{D7CFF392-E5B4-F0DB-8E1C-B51563393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50453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134</xdr:row>
      <xdr:rowOff>39688</xdr:rowOff>
    </xdr:from>
    <xdr:to>
      <xdr:col>2</xdr:col>
      <xdr:colOff>312738</xdr:colOff>
      <xdr:row>134</xdr:row>
      <xdr:rowOff>293688</xdr:rowOff>
    </xdr:to>
    <xdr:pic>
      <xdr:nvPicPr>
        <xdr:cNvPr id="55538" name="Picture 55537">
          <a:extLst>
            <a:ext uri="{FF2B5EF4-FFF2-40B4-BE49-F238E27FC236}">
              <a16:creationId xmlns:a16="http://schemas.microsoft.com/office/drawing/2014/main" id="{F5F8E881-6230-34FE-8CAE-AC4212E594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53786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134</xdr:row>
      <xdr:rowOff>39688</xdr:rowOff>
    </xdr:from>
    <xdr:to>
      <xdr:col>6</xdr:col>
      <xdr:colOff>346075</xdr:colOff>
      <xdr:row>134</xdr:row>
      <xdr:rowOff>293688</xdr:rowOff>
    </xdr:to>
    <xdr:pic>
      <xdr:nvPicPr>
        <xdr:cNvPr id="55541" name="Picture 55540">
          <a:extLst>
            <a:ext uri="{FF2B5EF4-FFF2-40B4-BE49-F238E27FC236}">
              <a16:creationId xmlns:a16="http://schemas.microsoft.com/office/drawing/2014/main" id="{745E348E-B9EF-A99F-4F15-0DE9191750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53786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115888</xdr:colOff>
      <xdr:row>135</xdr:row>
      <xdr:rowOff>39688</xdr:rowOff>
    </xdr:from>
    <xdr:to>
      <xdr:col>2</xdr:col>
      <xdr:colOff>255588</xdr:colOff>
      <xdr:row>135</xdr:row>
      <xdr:rowOff>293688</xdr:rowOff>
    </xdr:to>
    <xdr:pic>
      <xdr:nvPicPr>
        <xdr:cNvPr id="55544" name="Picture 55543">
          <a:extLst>
            <a:ext uri="{FF2B5EF4-FFF2-40B4-BE49-F238E27FC236}">
              <a16:creationId xmlns:a16="http://schemas.microsoft.com/office/drawing/2014/main" id="{6D3D3233-8A06-49CD-696F-8FE8FA805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3913" y="45712063"/>
          <a:ext cx="1397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135</xdr:row>
      <xdr:rowOff>39688</xdr:rowOff>
    </xdr:from>
    <xdr:to>
      <xdr:col>6</xdr:col>
      <xdr:colOff>346075</xdr:colOff>
      <xdr:row>135</xdr:row>
      <xdr:rowOff>293688</xdr:rowOff>
    </xdr:to>
    <xdr:pic>
      <xdr:nvPicPr>
        <xdr:cNvPr id="55547" name="Picture 55546">
          <a:extLst>
            <a:ext uri="{FF2B5EF4-FFF2-40B4-BE49-F238E27FC236}">
              <a16:creationId xmlns:a16="http://schemas.microsoft.com/office/drawing/2014/main" id="{3C85B0F8-FB8D-BAE1-DA06-5E2561A95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57120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136</xdr:row>
      <xdr:rowOff>39688</xdr:rowOff>
    </xdr:from>
    <xdr:to>
      <xdr:col>2</xdr:col>
      <xdr:colOff>312738</xdr:colOff>
      <xdr:row>136</xdr:row>
      <xdr:rowOff>293688</xdr:rowOff>
    </xdr:to>
    <xdr:pic>
      <xdr:nvPicPr>
        <xdr:cNvPr id="55550" name="Picture 55549">
          <a:extLst>
            <a:ext uri="{FF2B5EF4-FFF2-40B4-BE49-F238E27FC236}">
              <a16:creationId xmlns:a16="http://schemas.microsoft.com/office/drawing/2014/main" id="{B9953E5C-0224-C18B-76CA-C752BEEFB2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60454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136</xdr:row>
      <xdr:rowOff>39688</xdr:rowOff>
    </xdr:from>
    <xdr:to>
      <xdr:col>6</xdr:col>
      <xdr:colOff>346075</xdr:colOff>
      <xdr:row>136</xdr:row>
      <xdr:rowOff>293688</xdr:rowOff>
    </xdr:to>
    <xdr:pic>
      <xdr:nvPicPr>
        <xdr:cNvPr id="55553" name="Picture 55552">
          <a:extLst>
            <a:ext uri="{FF2B5EF4-FFF2-40B4-BE49-F238E27FC236}">
              <a16:creationId xmlns:a16="http://schemas.microsoft.com/office/drawing/2014/main" id="{74FFD159-E25B-31BD-F8EE-370533B294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60454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137</xdr:row>
      <xdr:rowOff>39688</xdr:rowOff>
    </xdr:from>
    <xdr:to>
      <xdr:col>2</xdr:col>
      <xdr:colOff>312738</xdr:colOff>
      <xdr:row>137</xdr:row>
      <xdr:rowOff>293688</xdr:rowOff>
    </xdr:to>
    <xdr:pic>
      <xdr:nvPicPr>
        <xdr:cNvPr id="55556" name="Picture 55555">
          <a:extLst>
            <a:ext uri="{FF2B5EF4-FFF2-40B4-BE49-F238E27FC236}">
              <a16:creationId xmlns:a16="http://schemas.microsoft.com/office/drawing/2014/main" id="{6D330D24-77A4-E14D-B50E-42FE66FA54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63788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137</xdr:row>
      <xdr:rowOff>39688</xdr:rowOff>
    </xdr:from>
    <xdr:to>
      <xdr:col>6</xdr:col>
      <xdr:colOff>346075</xdr:colOff>
      <xdr:row>137</xdr:row>
      <xdr:rowOff>293688</xdr:rowOff>
    </xdr:to>
    <xdr:pic>
      <xdr:nvPicPr>
        <xdr:cNvPr id="55559" name="Picture 55558">
          <a:extLst>
            <a:ext uri="{FF2B5EF4-FFF2-40B4-BE49-F238E27FC236}">
              <a16:creationId xmlns:a16="http://schemas.microsoft.com/office/drawing/2014/main" id="{3CAF4D6D-449D-8296-D966-CBAED112E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63788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138</xdr:row>
      <xdr:rowOff>39688</xdr:rowOff>
    </xdr:from>
    <xdr:to>
      <xdr:col>2</xdr:col>
      <xdr:colOff>312738</xdr:colOff>
      <xdr:row>138</xdr:row>
      <xdr:rowOff>293688</xdr:rowOff>
    </xdr:to>
    <xdr:pic>
      <xdr:nvPicPr>
        <xdr:cNvPr id="55562" name="Picture 55561">
          <a:extLst>
            <a:ext uri="{FF2B5EF4-FFF2-40B4-BE49-F238E27FC236}">
              <a16:creationId xmlns:a16="http://schemas.microsoft.com/office/drawing/2014/main" id="{4B50C9C9-4916-C781-8067-F2409BBE8E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67121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138</xdr:row>
      <xdr:rowOff>39688</xdr:rowOff>
    </xdr:from>
    <xdr:to>
      <xdr:col>6</xdr:col>
      <xdr:colOff>346075</xdr:colOff>
      <xdr:row>138</xdr:row>
      <xdr:rowOff>293688</xdr:rowOff>
    </xdr:to>
    <xdr:pic>
      <xdr:nvPicPr>
        <xdr:cNvPr id="55565" name="Picture 55564">
          <a:extLst>
            <a:ext uri="{FF2B5EF4-FFF2-40B4-BE49-F238E27FC236}">
              <a16:creationId xmlns:a16="http://schemas.microsoft.com/office/drawing/2014/main" id="{FA8F591F-D415-2CE8-CB28-BB4BF0F54D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67121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33572</xdr:colOff>
      <xdr:row>139</xdr:row>
      <xdr:rowOff>39688</xdr:rowOff>
    </xdr:from>
    <xdr:to>
      <xdr:col>2</xdr:col>
      <xdr:colOff>337904</xdr:colOff>
      <xdr:row>139</xdr:row>
      <xdr:rowOff>293688</xdr:rowOff>
    </xdr:to>
    <xdr:pic>
      <xdr:nvPicPr>
        <xdr:cNvPr id="55568" name="Picture 55567">
          <a:extLst>
            <a:ext uri="{FF2B5EF4-FFF2-40B4-BE49-F238E27FC236}">
              <a16:creationId xmlns:a16="http://schemas.microsoft.com/office/drawing/2014/main" id="{651E6A3E-B642-CDAE-14D0-468C145CBF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597" y="47045563"/>
          <a:ext cx="304332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139</xdr:row>
      <xdr:rowOff>39688</xdr:rowOff>
    </xdr:from>
    <xdr:to>
      <xdr:col>6</xdr:col>
      <xdr:colOff>346075</xdr:colOff>
      <xdr:row>139</xdr:row>
      <xdr:rowOff>293688</xdr:rowOff>
    </xdr:to>
    <xdr:pic>
      <xdr:nvPicPr>
        <xdr:cNvPr id="55571" name="Picture 55570">
          <a:extLst>
            <a:ext uri="{FF2B5EF4-FFF2-40B4-BE49-F238E27FC236}">
              <a16:creationId xmlns:a16="http://schemas.microsoft.com/office/drawing/2014/main" id="{1C0237F5-7841-D2F3-E2EC-4BE9B8A801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70455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140</xdr:row>
      <xdr:rowOff>39688</xdr:rowOff>
    </xdr:from>
    <xdr:to>
      <xdr:col>2</xdr:col>
      <xdr:colOff>312738</xdr:colOff>
      <xdr:row>140</xdr:row>
      <xdr:rowOff>293688</xdr:rowOff>
    </xdr:to>
    <xdr:pic>
      <xdr:nvPicPr>
        <xdr:cNvPr id="55574" name="Picture 55573">
          <a:extLst>
            <a:ext uri="{FF2B5EF4-FFF2-40B4-BE49-F238E27FC236}">
              <a16:creationId xmlns:a16="http://schemas.microsoft.com/office/drawing/2014/main" id="{42C90DDB-765D-D052-D04B-8818501F4C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73789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140</xdr:row>
      <xdr:rowOff>39688</xdr:rowOff>
    </xdr:from>
    <xdr:to>
      <xdr:col>6</xdr:col>
      <xdr:colOff>346075</xdr:colOff>
      <xdr:row>140</xdr:row>
      <xdr:rowOff>293688</xdr:rowOff>
    </xdr:to>
    <xdr:pic>
      <xdr:nvPicPr>
        <xdr:cNvPr id="55577" name="Picture 55576">
          <a:extLst>
            <a:ext uri="{FF2B5EF4-FFF2-40B4-BE49-F238E27FC236}">
              <a16:creationId xmlns:a16="http://schemas.microsoft.com/office/drawing/2014/main" id="{EBE3299B-49EF-0BDA-384E-B0EEC97BFD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73789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144</xdr:row>
      <xdr:rowOff>39688</xdr:rowOff>
    </xdr:from>
    <xdr:to>
      <xdr:col>2</xdr:col>
      <xdr:colOff>312738</xdr:colOff>
      <xdr:row>144</xdr:row>
      <xdr:rowOff>293688</xdr:rowOff>
    </xdr:to>
    <xdr:pic>
      <xdr:nvPicPr>
        <xdr:cNvPr id="55580" name="Picture 55579">
          <a:extLst>
            <a:ext uri="{FF2B5EF4-FFF2-40B4-BE49-F238E27FC236}">
              <a16:creationId xmlns:a16="http://schemas.microsoft.com/office/drawing/2014/main" id="{328665D3-B7A7-4DA2-150A-52AD735B57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87791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144</xdr:row>
      <xdr:rowOff>39688</xdr:rowOff>
    </xdr:from>
    <xdr:to>
      <xdr:col>6</xdr:col>
      <xdr:colOff>346075</xdr:colOff>
      <xdr:row>144</xdr:row>
      <xdr:rowOff>293688</xdr:rowOff>
    </xdr:to>
    <xdr:pic>
      <xdr:nvPicPr>
        <xdr:cNvPr id="55583" name="Picture 55582">
          <a:extLst>
            <a:ext uri="{FF2B5EF4-FFF2-40B4-BE49-F238E27FC236}">
              <a16:creationId xmlns:a16="http://schemas.microsoft.com/office/drawing/2014/main" id="{5DAEBBCC-28A3-9297-E5C2-C1E18D985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87791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145</xdr:row>
      <xdr:rowOff>39688</xdr:rowOff>
    </xdr:from>
    <xdr:to>
      <xdr:col>2</xdr:col>
      <xdr:colOff>312738</xdr:colOff>
      <xdr:row>145</xdr:row>
      <xdr:rowOff>293688</xdr:rowOff>
    </xdr:to>
    <xdr:pic>
      <xdr:nvPicPr>
        <xdr:cNvPr id="55586" name="Picture 55585">
          <a:extLst>
            <a:ext uri="{FF2B5EF4-FFF2-40B4-BE49-F238E27FC236}">
              <a16:creationId xmlns:a16="http://schemas.microsoft.com/office/drawing/2014/main" id="{F14D725B-7FE2-DF84-5146-A0C30B1AB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91124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145</xdr:row>
      <xdr:rowOff>39688</xdr:rowOff>
    </xdr:from>
    <xdr:to>
      <xdr:col>6</xdr:col>
      <xdr:colOff>346075</xdr:colOff>
      <xdr:row>145</xdr:row>
      <xdr:rowOff>293688</xdr:rowOff>
    </xdr:to>
    <xdr:pic>
      <xdr:nvPicPr>
        <xdr:cNvPr id="55589" name="Picture 55588">
          <a:extLst>
            <a:ext uri="{FF2B5EF4-FFF2-40B4-BE49-F238E27FC236}">
              <a16:creationId xmlns:a16="http://schemas.microsoft.com/office/drawing/2014/main" id="{71D1EC29-6772-28C9-C454-1DF2216500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91124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146</xdr:row>
      <xdr:rowOff>39688</xdr:rowOff>
    </xdr:from>
    <xdr:to>
      <xdr:col>2</xdr:col>
      <xdr:colOff>312738</xdr:colOff>
      <xdr:row>146</xdr:row>
      <xdr:rowOff>293688</xdr:rowOff>
    </xdr:to>
    <xdr:pic>
      <xdr:nvPicPr>
        <xdr:cNvPr id="55592" name="Picture 55591">
          <a:extLst>
            <a:ext uri="{FF2B5EF4-FFF2-40B4-BE49-F238E27FC236}">
              <a16:creationId xmlns:a16="http://schemas.microsoft.com/office/drawing/2014/main" id="{34945406-7232-BD74-E8E3-8A78326EC6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94458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146</xdr:row>
      <xdr:rowOff>39688</xdr:rowOff>
    </xdr:from>
    <xdr:to>
      <xdr:col>6</xdr:col>
      <xdr:colOff>346075</xdr:colOff>
      <xdr:row>146</xdr:row>
      <xdr:rowOff>293688</xdr:rowOff>
    </xdr:to>
    <xdr:pic>
      <xdr:nvPicPr>
        <xdr:cNvPr id="55595" name="Picture 55594">
          <a:extLst>
            <a:ext uri="{FF2B5EF4-FFF2-40B4-BE49-F238E27FC236}">
              <a16:creationId xmlns:a16="http://schemas.microsoft.com/office/drawing/2014/main" id="{DB3B6F2F-1D65-C594-FB42-5677FC51D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94458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147</xdr:row>
      <xdr:rowOff>39688</xdr:rowOff>
    </xdr:from>
    <xdr:to>
      <xdr:col>2</xdr:col>
      <xdr:colOff>312738</xdr:colOff>
      <xdr:row>147</xdr:row>
      <xdr:rowOff>293688</xdr:rowOff>
    </xdr:to>
    <xdr:pic>
      <xdr:nvPicPr>
        <xdr:cNvPr id="55598" name="Picture 55597">
          <a:extLst>
            <a:ext uri="{FF2B5EF4-FFF2-40B4-BE49-F238E27FC236}">
              <a16:creationId xmlns:a16="http://schemas.microsoft.com/office/drawing/2014/main" id="{498D1F1C-0641-AB88-7F3E-040090898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497792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147</xdr:row>
      <xdr:rowOff>39688</xdr:rowOff>
    </xdr:from>
    <xdr:to>
      <xdr:col>6</xdr:col>
      <xdr:colOff>346075</xdr:colOff>
      <xdr:row>147</xdr:row>
      <xdr:rowOff>293688</xdr:rowOff>
    </xdr:to>
    <xdr:pic>
      <xdr:nvPicPr>
        <xdr:cNvPr id="55601" name="Picture 55600">
          <a:extLst>
            <a:ext uri="{FF2B5EF4-FFF2-40B4-BE49-F238E27FC236}">
              <a16:creationId xmlns:a16="http://schemas.microsoft.com/office/drawing/2014/main" id="{57277A04-E50A-C8BD-F42B-4C15CB6D5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497792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148</xdr:row>
      <xdr:rowOff>39688</xdr:rowOff>
    </xdr:from>
    <xdr:to>
      <xdr:col>2</xdr:col>
      <xdr:colOff>312738</xdr:colOff>
      <xdr:row>148</xdr:row>
      <xdr:rowOff>293688</xdr:rowOff>
    </xdr:to>
    <xdr:pic>
      <xdr:nvPicPr>
        <xdr:cNvPr id="55604" name="Picture 55603">
          <a:extLst>
            <a:ext uri="{FF2B5EF4-FFF2-40B4-BE49-F238E27FC236}">
              <a16:creationId xmlns:a16="http://schemas.microsoft.com/office/drawing/2014/main" id="{5150B9B8-F469-41A2-A6DA-16BFB3545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01126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148</xdr:row>
      <xdr:rowOff>39688</xdr:rowOff>
    </xdr:from>
    <xdr:to>
      <xdr:col>6</xdr:col>
      <xdr:colOff>346075</xdr:colOff>
      <xdr:row>148</xdr:row>
      <xdr:rowOff>293688</xdr:rowOff>
    </xdr:to>
    <xdr:pic>
      <xdr:nvPicPr>
        <xdr:cNvPr id="55607" name="Picture 55606">
          <a:extLst>
            <a:ext uri="{FF2B5EF4-FFF2-40B4-BE49-F238E27FC236}">
              <a16:creationId xmlns:a16="http://schemas.microsoft.com/office/drawing/2014/main" id="{F7C61D39-915B-E935-031F-AAB262EC67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501126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149</xdr:row>
      <xdr:rowOff>39688</xdr:rowOff>
    </xdr:from>
    <xdr:to>
      <xdr:col>2</xdr:col>
      <xdr:colOff>312738</xdr:colOff>
      <xdr:row>149</xdr:row>
      <xdr:rowOff>293688</xdr:rowOff>
    </xdr:to>
    <xdr:pic>
      <xdr:nvPicPr>
        <xdr:cNvPr id="55610" name="Picture 55609">
          <a:extLst>
            <a:ext uri="{FF2B5EF4-FFF2-40B4-BE49-F238E27FC236}">
              <a16:creationId xmlns:a16="http://schemas.microsoft.com/office/drawing/2014/main" id="{504B8310-5CF5-A5DD-316D-B8F563A586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04459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149225</xdr:colOff>
      <xdr:row>149</xdr:row>
      <xdr:rowOff>39688</xdr:rowOff>
    </xdr:from>
    <xdr:to>
      <xdr:col>6</xdr:col>
      <xdr:colOff>288925</xdr:colOff>
      <xdr:row>149</xdr:row>
      <xdr:rowOff>293688</xdr:rowOff>
    </xdr:to>
    <xdr:pic>
      <xdr:nvPicPr>
        <xdr:cNvPr id="55613" name="Picture 55612">
          <a:extLst>
            <a:ext uri="{FF2B5EF4-FFF2-40B4-BE49-F238E27FC236}">
              <a16:creationId xmlns:a16="http://schemas.microsoft.com/office/drawing/2014/main" id="{C3DF73E0-6E3F-09AB-1BCB-73EB45E735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450" y="50445988"/>
          <a:ext cx="1397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150</xdr:row>
      <xdr:rowOff>39688</xdr:rowOff>
    </xdr:from>
    <xdr:to>
      <xdr:col>2</xdr:col>
      <xdr:colOff>312738</xdr:colOff>
      <xdr:row>150</xdr:row>
      <xdr:rowOff>293688</xdr:rowOff>
    </xdr:to>
    <xdr:pic>
      <xdr:nvPicPr>
        <xdr:cNvPr id="55616" name="Picture 55615">
          <a:extLst>
            <a:ext uri="{FF2B5EF4-FFF2-40B4-BE49-F238E27FC236}">
              <a16:creationId xmlns:a16="http://schemas.microsoft.com/office/drawing/2014/main" id="{ABF540AF-F0AF-AF59-F274-13EA23CEF8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07793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115703</xdr:colOff>
      <xdr:row>150</xdr:row>
      <xdr:rowOff>39688</xdr:rowOff>
    </xdr:from>
    <xdr:to>
      <xdr:col>6</xdr:col>
      <xdr:colOff>322447</xdr:colOff>
      <xdr:row>150</xdr:row>
      <xdr:rowOff>293688</xdr:rowOff>
    </xdr:to>
    <xdr:pic>
      <xdr:nvPicPr>
        <xdr:cNvPr id="55619" name="Picture 55618">
          <a:extLst>
            <a:ext uri="{FF2B5EF4-FFF2-40B4-BE49-F238E27FC236}">
              <a16:creationId xmlns:a16="http://schemas.microsoft.com/office/drawing/2014/main" id="{A670ABE4-6C6A-47C2-02D8-837F43D51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928" y="50779363"/>
          <a:ext cx="206744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151</xdr:row>
      <xdr:rowOff>39688</xdr:rowOff>
    </xdr:from>
    <xdr:to>
      <xdr:col>2</xdr:col>
      <xdr:colOff>312738</xdr:colOff>
      <xdr:row>151</xdr:row>
      <xdr:rowOff>293688</xdr:rowOff>
    </xdr:to>
    <xdr:pic>
      <xdr:nvPicPr>
        <xdr:cNvPr id="55622" name="Picture 55621">
          <a:extLst>
            <a:ext uri="{FF2B5EF4-FFF2-40B4-BE49-F238E27FC236}">
              <a16:creationId xmlns:a16="http://schemas.microsoft.com/office/drawing/2014/main" id="{BC5A85E4-BC45-B7CE-E9DE-F793FC438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11127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151</xdr:row>
      <xdr:rowOff>39688</xdr:rowOff>
    </xdr:from>
    <xdr:to>
      <xdr:col>6</xdr:col>
      <xdr:colOff>346075</xdr:colOff>
      <xdr:row>151</xdr:row>
      <xdr:rowOff>293688</xdr:rowOff>
    </xdr:to>
    <xdr:pic>
      <xdr:nvPicPr>
        <xdr:cNvPr id="55625" name="Picture 55624">
          <a:extLst>
            <a:ext uri="{FF2B5EF4-FFF2-40B4-BE49-F238E27FC236}">
              <a16:creationId xmlns:a16="http://schemas.microsoft.com/office/drawing/2014/main" id="{6019E0A9-81EE-BEEE-9D45-55ECB579E2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511127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33572</xdr:colOff>
      <xdr:row>152</xdr:row>
      <xdr:rowOff>39688</xdr:rowOff>
    </xdr:from>
    <xdr:to>
      <xdr:col>2</xdr:col>
      <xdr:colOff>337904</xdr:colOff>
      <xdr:row>152</xdr:row>
      <xdr:rowOff>293688</xdr:rowOff>
    </xdr:to>
    <xdr:pic>
      <xdr:nvPicPr>
        <xdr:cNvPr id="55628" name="Picture 55627">
          <a:extLst>
            <a:ext uri="{FF2B5EF4-FFF2-40B4-BE49-F238E27FC236}">
              <a16:creationId xmlns:a16="http://schemas.microsoft.com/office/drawing/2014/main" id="{41512B54-4B34-AC73-AB84-0CA92B788A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597" y="51446113"/>
          <a:ext cx="304332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152</xdr:row>
      <xdr:rowOff>39688</xdr:rowOff>
    </xdr:from>
    <xdr:to>
      <xdr:col>6</xdr:col>
      <xdr:colOff>346075</xdr:colOff>
      <xdr:row>152</xdr:row>
      <xdr:rowOff>293688</xdr:rowOff>
    </xdr:to>
    <xdr:pic>
      <xdr:nvPicPr>
        <xdr:cNvPr id="55631" name="Picture 55630">
          <a:extLst>
            <a:ext uri="{FF2B5EF4-FFF2-40B4-BE49-F238E27FC236}">
              <a16:creationId xmlns:a16="http://schemas.microsoft.com/office/drawing/2014/main" id="{91E2DCE3-9448-04EF-7A16-ACD56B2B67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514461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153</xdr:row>
      <xdr:rowOff>39688</xdr:rowOff>
    </xdr:from>
    <xdr:to>
      <xdr:col>2</xdr:col>
      <xdr:colOff>312738</xdr:colOff>
      <xdr:row>153</xdr:row>
      <xdr:rowOff>293688</xdr:rowOff>
    </xdr:to>
    <xdr:pic>
      <xdr:nvPicPr>
        <xdr:cNvPr id="55634" name="Picture 55633">
          <a:extLst>
            <a:ext uri="{FF2B5EF4-FFF2-40B4-BE49-F238E27FC236}">
              <a16:creationId xmlns:a16="http://schemas.microsoft.com/office/drawing/2014/main" id="{AB372E3E-9BAD-8CD9-8213-5060B73EB7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17794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108832</xdr:colOff>
      <xdr:row>153</xdr:row>
      <xdr:rowOff>39688</xdr:rowOff>
    </xdr:from>
    <xdr:to>
      <xdr:col>6</xdr:col>
      <xdr:colOff>329318</xdr:colOff>
      <xdr:row>153</xdr:row>
      <xdr:rowOff>293688</xdr:rowOff>
    </xdr:to>
    <xdr:pic>
      <xdr:nvPicPr>
        <xdr:cNvPr id="55637" name="Picture 55636">
          <a:extLst>
            <a:ext uri="{FF2B5EF4-FFF2-40B4-BE49-F238E27FC236}">
              <a16:creationId xmlns:a16="http://schemas.microsoft.com/office/drawing/2014/main" id="{0C811346-2210-B5A7-DBCD-CA078F42CA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6057" y="51779488"/>
          <a:ext cx="220486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157</xdr:row>
      <xdr:rowOff>39688</xdr:rowOff>
    </xdr:from>
    <xdr:to>
      <xdr:col>2</xdr:col>
      <xdr:colOff>312738</xdr:colOff>
      <xdr:row>157</xdr:row>
      <xdr:rowOff>293688</xdr:rowOff>
    </xdr:to>
    <xdr:pic>
      <xdr:nvPicPr>
        <xdr:cNvPr id="55640" name="Picture 55639">
          <a:extLst>
            <a:ext uri="{FF2B5EF4-FFF2-40B4-BE49-F238E27FC236}">
              <a16:creationId xmlns:a16="http://schemas.microsoft.com/office/drawing/2014/main" id="{197248F4-6635-AE74-782D-65E299086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31796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157</xdr:row>
      <xdr:rowOff>39688</xdr:rowOff>
    </xdr:from>
    <xdr:to>
      <xdr:col>6</xdr:col>
      <xdr:colOff>346075</xdr:colOff>
      <xdr:row>157</xdr:row>
      <xdr:rowOff>293688</xdr:rowOff>
    </xdr:to>
    <xdr:pic>
      <xdr:nvPicPr>
        <xdr:cNvPr id="55643" name="Picture 55642">
          <a:extLst>
            <a:ext uri="{FF2B5EF4-FFF2-40B4-BE49-F238E27FC236}">
              <a16:creationId xmlns:a16="http://schemas.microsoft.com/office/drawing/2014/main" id="{E8F10284-8316-8266-B51C-E4BDCE6BB4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531796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158</xdr:row>
      <xdr:rowOff>39688</xdr:rowOff>
    </xdr:from>
    <xdr:to>
      <xdr:col>2</xdr:col>
      <xdr:colOff>312738</xdr:colOff>
      <xdr:row>158</xdr:row>
      <xdr:rowOff>293688</xdr:rowOff>
    </xdr:to>
    <xdr:pic>
      <xdr:nvPicPr>
        <xdr:cNvPr id="55646" name="Picture 55645">
          <a:extLst>
            <a:ext uri="{FF2B5EF4-FFF2-40B4-BE49-F238E27FC236}">
              <a16:creationId xmlns:a16="http://schemas.microsoft.com/office/drawing/2014/main" id="{257793A7-20BB-FB63-0293-1ECAECF3F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35130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158</xdr:row>
      <xdr:rowOff>39688</xdr:rowOff>
    </xdr:from>
    <xdr:to>
      <xdr:col>6</xdr:col>
      <xdr:colOff>346075</xdr:colOff>
      <xdr:row>158</xdr:row>
      <xdr:rowOff>293688</xdr:rowOff>
    </xdr:to>
    <xdr:pic>
      <xdr:nvPicPr>
        <xdr:cNvPr id="55649" name="Picture 55648">
          <a:extLst>
            <a:ext uri="{FF2B5EF4-FFF2-40B4-BE49-F238E27FC236}">
              <a16:creationId xmlns:a16="http://schemas.microsoft.com/office/drawing/2014/main" id="{16A7CF30-3DCB-F0C3-6CE3-846B59AD65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535130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159</xdr:row>
      <xdr:rowOff>39688</xdr:rowOff>
    </xdr:from>
    <xdr:to>
      <xdr:col>2</xdr:col>
      <xdr:colOff>312738</xdr:colOff>
      <xdr:row>159</xdr:row>
      <xdr:rowOff>293688</xdr:rowOff>
    </xdr:to>
    <xdr:pic>
      <xdr:nvPicPr>
        <xdr:cNvPr id="55652" name="Picture 55651">
          <a:extLst>
            <a:ext uri="{FF2B5EF4-FFF2-40B4-BE49-F238E27FC236}">
              <a16:creationId xmlns:a16="http://schemas.microsoft.com/office/drawing/2014/main" id="{8FA79DEE-A11C-C192-5B77-4FC690B6B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38464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159</xdr:row>
      <xdr:rowOff>39688</xdr:rowOff>
    </xdr:from>
    <xdr:to>
      <xdr:col>6</xdr:col>
      <xdr:colOff>346075</xdr:colOff>
      <xdr:row>159</xdr:row>
      <xdr:rowOff>293688</xdr:rowOff>
    </xdr:to>
    <xdr:pic>
      <xdr:nvPicPr>
        <xdr:cNvPr id="55655" name="Picture 55654">
          <a:extLst>
            <a:ext uri="{FF2B5EF4-FFF2-40B4-BE49-F238E27FC236}">
              <a16:creationId xmlns:a16="http://schemas.microsoft.com/office/drawing/2014/main" id="{E36C7601-C9C3-FA72-B87B-823B01816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538464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75495</xdr:colOff>
      <xdr:row>160</xdr:row>
      <xdr:rowOff>39688</xdr:rowOff>
    </xdr:from>
    <xdr:to>
      <xdr:col>2</xdr:col>
      <xdr:colOff>295981</xdr:colOff>
      <xdr:row>160</xdr:row>
      <xdr:rowOff>293688</xdr:rowOff>
    </xdr:to>
    <xdr:pic>
      <xdr:nvPicPr>
        <xdr:cNvPr id="55658" name="Picture 55657">
          <a:extLst>
            <a:ext uri="{FF2B5EF4-FFF2-40B4-BE49-F238E27FC236}">
              <a16:creationId xmlns:a16="http://schemas.microsoft.com/office/drawing/2014/main" id="{2AA9AC91-72DB-5BAF-A85F-DE08F7AD9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520" y="54179788"/>
          <a:ext cx="220486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160</xdr:row>
      <xdr:rowOff>39688</xdr:rowOff>
    </xdr:from>
    <xdr:to>
      <xdr:col>6</xdr:col>
      <xdr:colOff>346075</xdr:colOff>
      <xdr:row>160</xdr:row>
      <xdr:rowOff>293688</xdr:rowOff>
    </xdr:to>
    <xdr:pic>
      <xdr:nvPicPr>
        <xdr:cNvPr id="55661" name="Picture 55660">
          <a:extLst>
            <a:ext uri="{FF2B5EF4-FFF2-40B4-BE49-F238E27FC236}">
              <a16:creationId xmlns:a16="http://schemas.microsoft.com/office/drawing/2014/main" id="{24980236-2046-CA45-4135-50F44C5A15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541797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161</xdr:row>
      <xdr:rowOff>39688</xdr:rowOff>
    </xdr:from>
    <xdr:to>
      <xdr:col>2</xdr:col>
      <xdr:colOff>312738</xdr:colOff>
      <xdr:row>161</xdr:row>
      <xdr:rowOff>293688</xdr:rowOff>
    </xdr:to>
    <xdr:pic>
      <xdr:nvPicPr>
        <xdr:cNvPr id="55664" name="Picture 55663">
          <a:extLst>
            <a:ext uri="{FF2B5EF4-FFF2-40B4-BE49-F238E27FC236}">
              <a16:creationId xmlns:a16="http://schemas.microsoft.com/office/drawing/2014/main" id="{197976FF-9315-DEA6-8497-4B9E8EEB4F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45131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66909</xdr:colOff>
      <xdr:row>161</xdr:row>
      <xdr:rowOff>39688</xdr:rowOff>
    </xdr:from>
    <xdr:to>
      <xdr:col>6</xdr:col>
      <xdr:colOff>371241</xdr:colOff>
      <xdr:row>161</xdr:row>
      <xdr:rowOff>293688</xdr:rowOff>
    </xdr:to>
    <xdr:pic>
      <xdr:nvPicPr>
        <xdr:cNvPr id="55667" name="Picture 55666">
          <a:extLst>
            <a:ext uri="{FF2B5EF4-FFF2-40B4-BE49-F238E27FC236}">
              <a16:creationId xmlns:a16="http://schemas.microsoft.com/office/drawing/2014/main" id="{21F38BEA-D1F1-31B1-D372-DF85AA5511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4134" y="54513163"/>
          <a:ext cx="304332" cy="254000"/>
        </a:xfrm>
        <a:prstGeom prst="rect">
          <a:avLst/>
        </a:prstGeom>
      </xdr:spPr>
    </xdr:pic>
    <xdr:clientData/>
  </xdr:twoCellAnchor>
  <xdr:twoCellAnchor>
    <xdr:from>
      <xdr:col>2</xdr:col>
      <xdr:colOff>82366</xdr:colOff>
      <xdr:row>162</xdr:row>
      <xdr:rowOff>39688</xdr:rowOff>
    </xdr:from>
    <xdr:to>
      <xdr:col>2</xdr:col>
      <xdr:colOff>289110</xdr:colOff>
      <xdr:row>162</xdr:row>
      <xdr:rowOff>293688</xdr:rowOff>
    </xdr:to>
    <xdr:pic>
      <xdr:nvPicPr>
        <xdr:cNvPr id="55670" name="Picture 55669">
          <a:extLst>
            <a:ext uri="{FF2B5EF4-FFF2-40B4-BE49-F238E27FC236}">
              <a16:creationId xmlns:a16="http://schemas.microsoft.com/office/drawing/2014/main" id="{796A5D92-FA24-7312-CB9E-886297625A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391" y="54846538"/>
          <a:ext cx="206744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162</xdr:row>
      <xdr:rowOff>39688</xdr:rowOff>
    </xdr:from>
    <xdr:to>
      <xdr:col>6</xdr:col>
      <xdr:colOff>346075</xdr:colOff>
      <xdr:row>162</xdr:row>
      <xdr:rowOff>293688</xdr:rowOff>
    </xdr:to>
    <xdr:pic>
      <xdr:nvPicPr>
        <xdr:cNvPr id="55673" name="Picture 55672">
          <a:extLst>
            <a:ext uri="{FF2B5EF4-FFF2-40B4-BE49-F238E27FC236}">
              <a16:creationId xmlns:a16="http://schemas.microsoft.com/office/drawing/2014/main" id="{3FC645B8-2ACC-26E6-A0E0-B6C5CC8A2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548465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115888</xdr:colOff>
      <xdr:row>163</xdr:row>
      <xdr:rowOff>39688</xdr:rowOff>
    </xdr:from>
    <xdr:to>
      <xdr:col>2</xdr:col>
      <xdr:colOff>255588</xdr:colOff>
      <xdr:row>163</xdr:row>
      <xdr:rowOff>293688</xdr:rowOff>
    </xdr:to>
    <xdr:pic>
      <xdr:nvPicPr>
        <xdr:cNvPr id="55676" name="Picture 55675">
          <a:extLst>
            <a:ext uri="{FF2B5EF4-FFF2-40B4-BE49-F238E27FC236}">
              <a16:creationId xmlns:a16="http://schemas.microsoft.com/office/drawing/2014/main" id="{B7AB8237-917C-B71B-FC83-86DD7276EE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3913" y="55179913"/>
          <a:ext cx="1397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163</xdr:row>
      <xdr:rowOff>39688</xdr:rowOff>
    </xdr:from>
    <xdr:to>
      <xdr:col>6</xdr:col>
      <xdr:colOff>346075</xdr:colOff>
      <xdr:row>163</xdr:row>
      <xdr:rowOff>293688</xdr:rowOff>
    </xdr:to>
    <xdr:pic>
      <xdr:nvPicPr>
        <xdr:cNvPr id="55679" name="Picture 55678">
          <a:extLst>
            <a:ext uri="{FF2B5EF4-FFF2-40B4-BE49-F238E27FC236}">
              <a16:creationId xmlns:a16="http://schemas.microsoft.com/office/drawing/2014/main" id="{D4F52A74-1C29-61A4-F26C-2198BEC1E0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551799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164</xdr:row>
      <xdr:rowOff>39688</xdr:rowOff>
    </xdr:from>
    <xdr:to>
      <xdr:col>2</xdr:col>
      <xdr:colOff>312738</xdr:colOff>
      <xdr:row>164</xdr:row>
      <xdr:rowOff>293688</xdr:rowOff>
    </xdr:to>
    <xdr:pic>
      <xdr:nvPicPr>
        <xdr:cNvPr id="55682" name="Picture 55681">
          <a:extLst>
            <a:ext uri="{FF2B5EF4-FFF2-40B4-BE49-F238E27FC236}">
              <a16:creationId xmlns:a16="http://schemas.microsoft.com/office/drawing/2014/main" id="{2D36DF79-A94E-E94B-BF14-C4341F72C2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55132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164</xdr:row>
      <xdr:rowOff>39688</xdr:rowOff>
    </xdr:from>
    <xdr:to>
      <xdr:col>6</xdr:col>
      <xdr:colOff>346075</xdr:colOff>
      <xdr:row>164</xdr:row>
      <xdr:rowOff>293688</xdr:rowOff>
    </xdr:to>
    <xdr:pic>
      <xdr:nvPicPr>
        <xdr:cNvPr id="55685" name="Picture 55684">
          <a:extLst>
            <a:ext uri="{FF2B5EF4-FFF2-40B4-BE49-F238E27FC236}">
              <a16:creationId xmlns:a16="http://schemas.microsoft.com/office/drawing/2014/main" id="{69547B48-77F6-D58D-D4FC-162A446E38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555132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165</xdr:row>
      <xdr:rowOff>39688</xdr:rowOff>
    </xdr:from>
    <xdr:to>
      <xdr:col>2</xdr:col>
      <xdr:colOff>312738</xdr:colOff>
      <xdr:row>165</xdr:row>
      <xdr:rowOff>293688</xdr:rowOff>
    </xdr:to>
    <xdr:pic>
      <xdr:nvPicPr>
        <xdr:cNvPr id="55688" name="Picture 55687">
          <a:extLst>
            <a:ext uri="{FF2B5EF4-FFF2-40B4-BE49-F238E27FC236}">
              <a16:creationId xmlns:a16="http://schemas.microsoft.com/office/drawing/2014/main" id="{8688E14A-AD62-3772-7882-322D0A0B6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58466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165</xdr:row>
      <xdr:rowOff>39688</xdr:rowOff>
    </xdr:from>
    <xdr:to>
      <xdr:col>6</xdr:col>
      <xdr:colOff>346075</xdr:colOff>
      <xdr:row>165</xdr:row>
      <xdr:rowOff>293688</xdr:rowOff>
    </xdr:to>
    <xdr:pic>
      <xdr:nvPicPr>
        <xdr:cNvPr id="55691" name="Picture 55690">
          <a:extLst>
            <a:ext uri="{FF2B5EF4-FFF2-40B4-BE49-F238E27FC236}">
              <a16:creationId xmlns:a16="http://schemas.microsoft.com/office/drawing/2014/main" id="{9A7CD1B7-35C2-F81D-E7DF-5A26E2ACC1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558466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166</xdr:row>
      <xdr:rowOff>39688</xdr:rowOff>
    </xdr:from>
    <xdr:to>
      <xdr:col>2</xdr:col>
      <xdr:colOff>312738</xdr:colOff>
      <xdr:row>166</xdr:row>
      <xdr:rowOff>293688</xdr:rowOff>
    </xdr:to>
    <xdr:pic>
      <xdr:nvPicPr>
        <xdr:cNvPr id="55694" name="Picture 55693">
          <a:extLst>
            <a:ext uri="{FF2B5EF4-FFF2-40B4-BE49-F238E27FC236}">
              <a16:creationId xmlns:a16="http://schemas.microsoft.com/office/drawing/2014/main" id="{9B9B279F-A976-96AD-924F-087B4D961E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61800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166</xdr:row>
      <xdr:rowOff>39688</xdr:rowOff>
    </xdr:from>
    <xdr:to>
      <xdr:col>6</xdr:col>
      <xdr:colOff>346075</xdr:colOff>
      <xdr:row>166</xdr:row>
      <xdr:rowOff>293688</xdr:rowOff>
    </xdr:to>
    <xdr:pic>
      <xdr:nvPicPr>
        <xdr:cNvPr id="55697" name="Picture 55696">
          <a:extLst>
            <a:ext uri="{FF2B5EF4-FFF2-40B4-BE49-F238E27FC236}">
              <a16:creationId xmlns:a16="http://schemas.microsoft.com/office/drawing/2014/main" id="{3905030B-15C6-299C-7851-33A2A2229E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561800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170</xdr:row>
      <xdr:rowOff>39688</xdr:rowOff>
    </xdr:from>
    <xdr:to>
      <xdr:col>2</xdr:col>
      <xdr:colOff>312738</xdr:colOff>
      <xdr:row>170</xdr:row>
      <xdr:rowOff>293688</xdr:rowOff>
    </xdr:to>
    <xdr:pic>
      <xdr:nvPicPr>
        <xdr:cNvPr id="55700" name="Picture 55699">
          <a:extLst>
            <a:ext uri="{FF2B5EF4-FFF2-40B4-BE49-F238E27FC236}">
              <a16:creationId xmlns:a16="http://schemas.microsoft.com/office/drawing/2014/main" id="{87C58CEF-6A34-1B83-441A-25105A843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75802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170</xdr:row>
      <xdr:rowOff>39688</xdr:rowOff>
    </xdr:from>
    <xdr:to>
      <xdr:col>6</xdr:col>
      <xdr:colOff>346075</xdr:colOff>
      <xdr:row>170</xdr:row>
      <xdr:rowOff>293688</xdr:rowOff>
    </xdr:to>
    <xdr:pic>
      <xdr:nvPicPr>
        <xdr:cNvPr id="55703" name="Picture 55702">
          <a:extLst>
            <a:ext uri="{FF2B5EF4-FFF2-40B4-BE49-F238E27FC236}">
              <a16:creationId xmlns:a16="http://schemas.microsoft.com/office/drawing/2014/main" id="{FD1AD4FD-C1F2-33ED-D798-D2C58B4EA7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575802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171</xdr:row>
      <xdr:rowOff>39688</xdr:rowOff>
    </xdr:from>
    <xdr:to>
      <xdr:col>2</xdr:col>
      <xdr:colOff>312738</xdr:colOff>
      <xdr:row>171</xdr:row>
      <xdr:rowOff>293688</xdr:rowOff>
    </xdr:to>
    <xdr:pic>
      <xdr:nvPicPr>
        <xdr:cNvPr id="55706" name="Picture 55705">
          <a:extLst>
            <a:ext uri="{FF2B5EF4-FFF2-40B4-BE49-F238E27FC236}">
              <a16:creationId xmlns:a16="http://schemas.microsoft.com/office/drawing/2014/main" id="{B092CE0A-CE52-6D7F-2034-2801A65444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79135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108832</xdr:colOff>
      <xdr:row>171</xdr:row>
      <xdr:rowOff>39688</xdr:rowOff>
    </xdr:from>
    <xdr:to>
      <xdr:col>6</xdr:col>
      <xdr:colOff>329318</xdr:colOff>
      <xdr:row>171</xdr:row>
      <xdr:rowOff>293688</xdr:rowOff>
    </xdr:to>
    <xdr:pic>
      <xdr:nvPicPr>
        <xdr:cNvPr id="55709" name="Picture 55708">
          <a:extLst>
            <a:ext uri="{FF2B5EF4-FFF2-40B4-BE49-F238E27FC236}">
              <a16:creationId xmlns:a16="http://schemas.microsoft.com/office/drawing/2014/main" id="{CF52B108-C522-5BF6-F3BD-B893D48FCF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6057" y="57913588"/>
          <a:ext cx="220486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172</xdr:row>
      <xdr:rowOff>39688</xdr:rowOff>
    </xdr:from>
    <xdr:to>
      <xdr:col>2</xdr:col>
      <xdr:colOff>312738</xdr:colOff>
      <xdr:row>172</xdr:row>
      <xdr:rowOff>293688</xdr:rowOff>
    </xdr:to>
    <xdr:pic>
      <xdr:nvPicPr>
        <xdr:cNvPr id="55711" name="Picture 55710">
          <a:extLst>
            <a:ext uri="{FF2B5EF4-FFF2-40B4-BE49-F238E27FC236}">
              <a16:creationId xmlns:a16="http://schemas.microsoft.com/office/drawing/2014/main" id="{E9B2227C-9F32-4A53-503F-190A51F9B0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82469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172</xdr:row>
      <xdr:rowOff>39688</xdr:rowOff>
    </xdr:from>
    <xdr:to>
      <xdr:col>6</xdr:col>
      <xdr:colOff>346075</xdr:colOff>
      <xdr:row>172</xdr:row>
      <xdr:rowOff>293688</xdr:rowOff>
    </xdr:to>
    <xdr:pic>
      <xdr:nvPicPr>
        <xdr:cNvPr id="55714" name="Picture 55713">
          <a:extLst>
            <a:ext uri="{FF2B5EF4-FFF2-40B4-BE49-F238E27FC236}">
              <a16:creationId xmlns:a16="http://schemas.microsoft.com/office/drawing/2014/main" id="{F25C55A1-E49A-FBE5-F52B-ABCCFBF633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582469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173</xdr:row>
      <xdr:rowOff>39688</xdr:rowOff>
    </xdr:from>
    <xdr:to>
      <xdr:col>2</xdr:col>
      <xdr:colOff>312738</xdr:colOff>
      <xdr:row>173</xdr:row>
      <xdr:rowOff>293688</xdr:rowOff>
    </xdr:to>
    <xdr:pic>
      <xdr:nvPicPr>
        <xdr:cNvPr id="55717" name="Picture 55716">
          <a:extLst>
            <a:ext uri="{FF2B5EF4-FFF2-40B4-BE49-F238E27FC236}">
              <a16:creationId xmlns:a16="http://schemas.microsoft.com/office/drawing/2014/main" id="{FAE23F52-213F-DFB8-4555-E0215146FB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85803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173</xdr:row>
      <xdr:rowOff>39688</xdr:rowOff>
    </xdr:from>
    <xdr:to>
      <xdr:col>6</xdr:col>
      <xdr:colOff>346075</xdr:colOff>
      <xdr:row>173</xdr:row>
      <xdr:rowOff>293688</xdr:rowOff>
    </xdr:to>
    <xdr:pic>
      <xdr:nvPicPr>
        <xdr:cNvPr id="55720" name="Picture 55719">
          <a:extLst>
            <a:ext uri="{FF2B5EF4-FFF2-40B4-BE49-F238E27FC236}">
              <a16:creationId xmlns:a16="http://schemas.microsoft.com/office/drawing/2014/main" id="{96378DA4-E95C-7607-D0D8-526AAE6662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585803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174</xdr:row>
      <xdr:rowOff>39688</xdr:rowOff>
    </xdr:from>
    <xdr:to>
      <xdr:col>2</xdr:col>
      <xdr:colOff>312738</xdr:colOff>
      <xdr:row>174</xdr:row>
      <xdr:rowOff>293688</xdr:rowOff>
    </xdr:to>
    <xdr:pic>
      <xdr:nvPicPr>
        <xdr:cNvPr id="55723" name="Picture 55722">
          <a:extLst>
            <a:ext uri="{FF2B5EF4-FFF2-40B4-BE49-F238E27FC236}">
              <a16:creationId xmlns:a16="http://schemas.microsoft.com/office/drawing/2014/main" id="{CB471A04-C5C1-1C2E-B09F-2035309F73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89137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174</xdr:row>
      <xdr:rowOff>39688</xdr:rowOff>
    </xdr:from>
    <xdr:to>
      <xdr:col>6</xdr:col>
      <xdr:colOff>346075</xdr:colOff>
      <xdr:row>174</xdr:row>
      <xdr:rowOff>293688</xdr:rowOff>
    </xdr:to>
    <xdr:pic>
      <xdr:nvPicPr>
        <xdr:cNvPr id="55726" name="Picture 55725">
          <a:extLst>
            <a:ext uri="{FF2B5EF4-FFF2-40B4-BE49-F238E27FC236}">
              <a16:creationId xmlns:a16="http://schemas.microsoft.com/office/drawing/2014/main" id="{37380598-9793-EF0A-F8D8-3DE6E35000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589137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175</xdr:row>
      <xdr:rowOff>39688</xdr:rowOff>
    </xdr:from>
    <xdr:to>
      <xdr:col>2</xdr:col>
      <xdr:colOff>312738</xdr:colOff>
      <xdr:row>175</xdr:row>
      <xdr:rowOff>293688</xdr:rowOff>
    </xdr:to>
    <xdr:pic>
      <xdr:nvPicPr>
        <xdr:cNvPr id="55729" name="Picture 55728">
          <a:extLst>
            <a:ext uri="{FF2B5EF4-FFF2-40B4-BE49-F238E27FC236}">
              <a16:creationId xmlns:a16="http://schemas.microsoft.com/office/drawing/2014/main" id="{FBED389F-B349-F89F-F1E7-47C876415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92470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115703</xdr:colOff>
      <xdr:row>175</xdr:row>
      <xdr:rowOff>39688</xdr:rowOff>
    </xdr:from>
    <xdr:to>
      <xdr:col>6</xdr:col>
      <xdr:colOff>322447</xdr:colOff>
      <xdr:row>175</xdr:row>
      <xdr:rowOff>293688</xdr:rowOff>
    </xdr:to>
    <xdr:pic>
      <xdr:nvPicPr>
        <xdr:cNvPr id="55732" name="Picture 55731">
          <a:extLst>
            <a:ext uri="{FF2B5EF4-FFF2-40B4-BE49-F238E27FC236}">
              <a16:creationId xmlns:a16="http://schemas.microsoft.com/office/drawing/2014/main" id="{09928CA6-F284-696C-67B4-E03FB7D3C2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928" y="59247088"/>
          <a:ext cx="206744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176</xdr:row>
      <xdr:rowOff>39688</xdr:rowOff>
    </xdr:from>
    <xdr:to>
      <xdr:col>2</xdr:col>
      <xdr:colOff>312738</xdr:colOff>
      <xdr:row>176</xdr:row>
      <xdr:rowOff>293688</xdr:rowOff>
    </xdr:to>
    <xdr:pic>
      <xdr:nvPicPr>
        <xdr:cNvPr id="55735" name="Picture 55734">
          <a:extLst>
            <a:ext uri="{FF2B5EF4-FFF2-40B4-BE49-F238E27FC236}">
              <a16:creationId xmlns:a16="http://schemas.microsoft.com/office/drawing/2014/main" id="{15202248-579E-133B-029C-0851C82670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95804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176</xdr:row>
      <xdr:rowOff>39688</xdr:rowOff>
    </xdr:from>
    <xdr:to>
      <xdr:col>6</xdr:col>
      <xdr:colOff>346075</xdr:colOff>
      <xdr:row>176</xdr:row>
      <xdr:rowOff>293688</xdr:rowOff>
    </xdr:to>
    <xdr:pic>
      <xdr:nvPicPr>
        <xdr:cNvPr id="55738" name="Picture 55737">
          <a:extLst>
            <a:ext uri="{FF2B5EF4-FFF2-40B4-BE49-F238E27FC236}">
              <a16:creationId xmlns:a16="http://schemas.microsoft.com/office/drawing/2014/main" id="{1FAD5869-C698-8D2C-3A8B-23B9A495CE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595804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177</xdr:row>
      <xdr:rowOff>39688</xdr:rowOff>
    </xdr:from>
    <xdr:to>
      <xdr:col>2</xdr:col>
      <xdr:colOff>312738</xdr:colOff>
      <xdr:row>177</xdr:row>
      <xdr:rowOff>293688</xdr:rowOff>
    </xdr:to>
    <xdr:pic>
      <xdr:nvPicPr>
        <xdr:cNvPr id="55741" name="Picture 55740">
          <a:extLst>
            <a:ext uri="{FF2B5EF4-FFF2-40B4-BE49-F238E27FC236}">
              <a16:creationId xmlns:a16="http://schemas.microsoft.com/office/drawing/2014/main" id="{6D5BB1D3-4EC1-78A1-4969-18C965A231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599138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177</xdr:row>
      <xdr:rowOff>39688</xdr:rowOff>
    </xdr:from>
    <xdr:to>
      <xdr:col>6</xdr:col>
      <xdr:colOff>346075</xdr:colOff>
      <xdr:row>177</xdr:row>
      <xdr:rowOff>293688</xdr:rowOff>
    </xdr:to>
    <xdr:pic>
      <xdr:nvPicPr>
        <xdr:cNvPr id="55744" name="Picture 55743">
          <a:extLst>
            <a:ext uri="{FF2B5EF4-FFF2-40B4-BE49-F238E27FC236}">
              <a16:creationId xmlns:a16="http://schemas.microsoft.com/office/drawing/2014/main" id="{A320F94C-4100-65AE-B381-226E2719F1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599138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33572</xdr:colOff>
      <xdr:row>178</xdr:row>
      <xdr:rowOff>39688</xdr:rowOff>
    </xdr:from>
    <xdr:to>
      <xdr:col>2</xdr:col>
      <xdr:colOff>337904</xdr:colOff>
      <xdr:row>178</xdr:row>
      <xdr:rowOff>293688</xdr:rowOff>
    </xdr:to>
    <xdr:pic>
      <xdr:nvPicPr>
        <xdr:cNvPr id="55747" name="Picture 55746">
          <a:extLst>
            <a:ext uri="{FF2B5EF4-FFF2-40B4-BE49-F238E27FC236}">
              <a16:creationId xmlns:a16="http://schemas.microsoft.com/office/drawing/2014/main" id="{4DDA8D34-0151-86ED-9273-8D5ACEFE7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597" y="60247213"/>
          <a:ext cx="304332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178</xdr:row>
      <xdr:rowOff>39688</xdr:rowOff>
    </xdr:from>
    <xdr:to>
      <xdr:col>6</xdr:col>
      <xdr:colOff>346075</xdr:colOff>
      <xdr:row>178</xdr:row>
      <xdr:rowOff>293688</xdr:rowOff>
    </xdr:to>
    <xdr:pic>
      <xdr:nvPicPr>
        <xdr:cNvPr id="55750" name="Picture 55749">
          <a:extLst>
            <a:ext uri="{FF2B5EF4-FFF2-40B4-BE49-F238E27FC236}">
              <a16:creationId xmlns:a16="http://schemas.microsoft.com/office/drawing/2014/main" id="{B653578F-CE7E-37F9-1738-C5951AEA8B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602472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179</xdr:row>
      <xdr:rowOff>39688</xdr:rowOff>
    </xdr:from>
    <xdr:to>
      <xdr:col>2</xdr:col>
      <xdr:colOff>312738</xdr:colOff>
      <xdr:row>179</xdr:row>
      <xdr:rowOff>293688</xdr:rowOff>
    </xdr:to>
    <xdr:pic>
      <xdr:nvPicPr>
        <xdr:cNvPr id="55753" name="Picture 55752">
          <a:extLst>
            <a:ext uri="{FF2B5EF4-FFF2-40B4-BE49-F238E27FC236}">
              <a16:creationId xmlns:a16="http://schemas.microsoft.com/office/drawing/2014/main" id="{2E29A92C-01BE-F069-DB27-1BB8B857C6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605805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149225</xdr:colOff>
      <xdr:row>179</xdr:row>
      <xdr:rowOff>39688</xdr:rowOff>
    </xdr:from>
    <xdr:to>
      <xdr:col>6</xdr:col>
      <xdr:colOff>288925</xdr:colOff>
      <xdr:row>179</xdr:row>
      <xdr:rowOff>293688</xdr:rowOff>
    </xdr:to>
    <xdr:pic>
      <xdr:nvPicPr>
        <xdr:cNvPr id="55756" name="Picture 55755">
          <a:extLst>
            <a:ext uri="{FF2B5EF4-FFF2-40B4-BE49-F238E27FC236}">
              <a16:creationId xmlns:a16="http://schemas.microsoft.com/office/drawing/2014/main" id="{44D52FE2-6A88-DCDA-CE42-2AAD8746F2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450" y="60580588"/>
          <a:ext cx="1397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183</xdr:row>
      <xdr:rowOff>39688</xdr:rowOff>
    </xdr:from>
    <xdr:to>
      <xdr:col>2</xdr:col>
      <xdr:colOff>312738</xdr:colOff>
      <xdr:row>183</xdr:row>
      <xdr:rowOff>293688</xdr:rowOff>
    </xdr:to>
    <xdr:pic>
      <xdr:nvPicPr>
        <xdr:cNvPr id="55759" name="Picture 55758">
          <a:extLst>
            <a:ext uri="{FF2B5EF4-FFF2-40B4-BE49-F238E27FC236}">
              <a16:creationId xmlns:a16="http://schemas.microsoft.com/office/drawing/2014/main" id="{E32F6946-17DA-A5E7-E731-CA7DF09E07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619807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183</xdr:row>
      <xdr:rowOff>39688</xdr:rowOff>
    </xdr:from>
    <xdr:to>
      <xdr:col>6</xdr:col>
      <xdr:colOff>346075</xdr:colOff>
      <xdr:row>183</xdr:row>
      <xdr:rowOff>293688</xdr:rowOff>
    </xdr:to>
    <xdr:pic>
      <xdr:nvPicPr>
        <xdr:cNvPr id="55762" name="Picture 55761">
          <a:extLst>
            <a:ext uri="{FF2B5EF4-FFF2-40B4-BE49-F238E27FC236}">
              <a16:creationId xmlns:a16="http://schemas.microsoft.com/office/drawing/2014/main" id="{08C3B256-0770-3904-39B5-9CEC20C2AD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619807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184</xdr:row>
      <xdr:rowOff>39688</xdr:rowOff>
    </xdr:from>
    <xdr:to>
      <xdr:col>2</xdr:col>
      <xdr:colOff>312738</xdr:colOff>
      <xdr:row>184</xdr:row>
      <xdr:rowOff>293688</xdr:rowOff>
    </xdr:to>
    <xdr:pic>
      <xdr:nvPicPr>
        <xdr:cNvPr id="55765" name="Picture 55764">
          <a:extLst>
            <a:ext uri="{FF2B5EF4-FFF2-40B4-BE49-F238E27FC236}">
              <a16:creationId xmlns:a16="http://schemas.microsoft.com/office/drawing/2014/main" id="{FCCF4067-7643-557D-B242-03FB071675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623141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184</xdr:row>
      <xdr:rowOff>39688</xdr:rowOff>
    </xdr:from>
    <xdr:to>
      <xdr:col>6</xdr:col>
      <xdr:colOff>346075</xdr:colOff>
      <xdr:row>184</xdr:row>
      <xdr:rowOff>293688</xdr:rowOff>
    </xdr:to>
    <xdr:pic>
      <xdr:nvPicPr>
        <xdr:cNvPr id="55768" name="Picture 55767">
          <a:extLst>
            <a:ext uri="{FF2B5EF4-FFF2-40B4-BE49-F238E27FC236}">
              <a16:creationId xmlns:a16="http://schemas.microsoft.com/office/drawing/2014/main" id="{CAACE9DC-A721-B4AF-D474-5D2FB9FE9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623141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185</xdr:row>
      <xdr:rowOff>39688</xdr:rowOff>
    </xdr:from>
    <xdr:to>
      <xdr:col>2</xdr:col>
      <xdr:colOff>312738</xdr:colOff>
      <xdr:row>185</xdr:row>
      <xdr:rowOff>293688</xdr:rowOff>
    </xdr:to>
    <xdr:pic>
      <xdr:nvPicPr>
        <xdr:cNvPr id="55771" name="Picture 55770">
          <a:extLst>
            <a:ext uri="{FF2B5EF4-FFF2-40B4-BE49-F238E27FC236}">
              <a16:creationId xmlns:a16="http://schemas.microsoft.com/office/drawing/2014/main" id="{1BD8B09F-6E74-6994-AE42-AD8899DEBC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626475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185</xdr:row>
      <xdr:rowOff>39688</xdr:rowOff>
    </xdr:from>
    <xdr:to>
      <xdr:col>6</xdr:col>
      <xdr:colOff>346075</xdr:colOff>
      <xdr:row>185</xdr:row>
      <xdr:rowOff>293688</xdr:rowOff>
    </xdr:to>
    <xdr:pic>
      <xdr:nvPicPr>
        <xdr:cNvPr id="55774" name="Picture 55773">
          <a:extLst>
            <a:ext uri="{FF2B5EF4-FFF2-40B4-BE49-F238E27FC236}">
              <a16:creationId xmlns:a16="http://schemas.microsoft.com/office/drawing/2014/main" id="{3987E997-6381-02A8-C11F-25B6AEB789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626475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75495</xdr:colOff>
      <xdr:row>186</xdr:row>
      <xdr:rowOff>39688</xdr:rowOff>
    </xdr:from>
    <xdr:to>
      <xdr:col>2</xdr:col>
      <xdr:colOff>295981</xdr:colOff>
      <xdr:row>186</xdr:row>
      <xdr:rowOff>293688</xdr:rowOff>
    </xdr:to>
    <xdr:pic>
      <xdr:nvPicPr>
        <xdr:cNvPr id="55777" name="Picture 55776">
          <a:extLst>
            <a:ext uri="{FF2B5EF4-FFF2-40B4-BE49-F238E27FC236}">
              <a16:creationId xmlns:a16="http://schemas.microsoft.com/office/drawing/2014/main" id="{BFF8BC35-57D4-5685-567A-E23D2372C7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520" y="62980888"/>
          <a:ext cx="220486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186</xdr:row>
      <xdr:rowOff>39688</xdr:rowOff>
    </xdr:from>
    <xdr:to>
      <xdr:col>6</xdr:col>
      <xdr:colOff>346075</xdr:colOff>
      <xdr:row>186</xdr:row>
      <xdr:rowOff>293688</xdr:rowOff>
    </xdr:to>
    <xdr:pic>
      <xdr:nvPicPr>
        <xdr:cNvPr id="55780" name="Picture 55779">
          <a:extLst>
            <a:ext uri="{FF2B5EF4-FFF2-40B4-BE49-F238E27FC236}">
              <a16:creationId xmlns:a16="http://schemas.microsoft.com/office/drawing/2014/main" id="{CA826326-CF0D-7CD0-861F-E9B6ADC23B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629808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187</xdr:row>
      <xdr:rowOff>39688</xdr:rowOff>
    </xdr:from>
    <xdr:to>
      <xdr:col>2</xdr:col>
      <xdr:colOff>312738</xdr:colOff>
      <xdr:row>187</xdr:row>
      <xdr:rowOff>293688</xdr:rowOff>
    </xdr:to>
    <xdr:pic>
      <xdr:nvPicPr>
        <xdr:cNvPr id="55783" name="Picture 55782">
          <a:extLst>
            <a:ext uri="{FF2B5EF4-FFF2-40B4-BE49-F238E27FC236}">
              <a16:creationId xmlns:a16="http://schemas.microsoft.com/office/drawing/2014/main" id="{7EBA99B9-2F02-44CC-0FE2-B7B9AB4A37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633142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187</xdr:row>
      <xdr:rowOff>39688</xdr:rowOff>
    </xdr:from>
    <xdr:to>
      <xdr:col>6</xdr:col>
      <xdr:colOff>346075</xdr:colOff>
      <xdr:row>187</xdr:row>
      <xdr:rowOff>293688</xdr:rowOff>
    </xdr:to>
    <xdr:pic>
      <xdr:nvPicPr>
        <xdr:cNvPr id="55786" name="Picture 55785">
          <a:extLst>
            <a:ext uri="{FF2B5EF4-FFF2-40B4-BE49-F238E27FC236}">
              <a16:creationId xmlns:a16="http://schemas.microsoft.com/office/drawing/2014/main" id="{3ED2659A-3931-0ED0-BCBD-7948F1E248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633142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82366</xdr:colOff>
      <xdr:row>188</xdr:row>
      <xdr:rowOff>39688</xdr:rowOff>
    </xdr:from>
    <xdr:to>
      <xdr:col>2</xdr:col>
      <xdr:colOff>289110</xdr:colOff>
      <xdr:row>188</xdr:row>
      <xdr:rowOff>293688</xdr:rowOff>
    </xdr:to>
    <xdr:pic>
      <xdr:nvPicPr>
        <xdr:cNvPr id="55789" name="Picture 55788">
          <a:extLst>
            <a:ext uri="{FF2B5EF4-FFF2-40B4-BE49-F238E27FC236}">
              <a16:creationId xmlns:a16="http://schemas.microsoft.com/office/drawing/2014/main" id="{E41AF250-5FB2-55D4-3968-B995E543C0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391" y="63647638"/>
          <a:ext cx="206744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188</xdr:row>
      <xdr:rowOff>39688</xdr:rowOff>
    </xdr:from>
    <xdr:to>
      <xdr:col>6</xdr:col>
      <xdr:colOff>346075</xdr:colOff>
      <xdr:row>188</xdr:row>
      <xdr:rowOff>293688</xdr:rowOff>
    </xdr:to>
    <xdr:pic>
      <xdr:nvPicPr>
        <xdr:cNvPr id="55792" name="Picture 55791">
          <a:extLst>
            <a:ext uri="{FF2B5EF4-FFF2-40B4-BE49-F238E27FC236}">
              <a16:creationId xmlns:a16="http://schemas.microsoft.com/office/drawing/2014/main" id="{96325B3C-5CF1-A2F7-CA01-10F5D6082E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636476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115888</xdr:colOff>
      <xdr:row>189</xdr:row>
      <xdr:rowOff>39688</xdr:rowOff>
    </xdr:from>
    <xdr:to>
      <xdr:col>2</xdr:col>
      <xdr:colOff>255588</xdr:colOff>
      <xdr:row>189</xdr:row>
      <xdr:rowOff>293688</xdr:rowOff>
    </xdr:to>
    <xdr:pic>
      <xdr:nvPicPr>
        <xdr:cNvPr id="55795" name="Picture 55794">
          <a:extLst>
            <a:ext uri="{FF2B5EF4-FFF2-40B4-BE49-F238E27FC236}">
              <a16:creationId xmlns:a16="http://schemas.microsoft.com/office/drawing/2014/main" id="{8123917A-0027-0EAC-3628-DF6DECE16E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3913" y="63981013"/>
          <a:ext cx="139700" cy="254000"/>
        </a:xfrm>
        <a:prstGeom prst="rect">
          <a:avLst/>
        </a:prstGeom>
      </xdr:spPr>
    </xdr:pic>
    <xdr:clientData/>
  </xdr:twoCellAnchor>
  <xdr:twoCellAnchor>
    <xdr:from>
      <xdr:col>6</xdr:col>
      <xdr:colOff>66909</xdr:colOff>
      <xdr:row>189</xdr:row>
      <xdr:rowOff>39688</xdr:rowOff>
    </xdr:from>
    <xdr:to>
      <xdr:col>6</xdr:col>
      <xdr:colOff>371241</xdr:colOff>
      <xdr:row>189</xdr:row>
      <xdr:rowOff>293688</xdr:rowOff>
    </xdr:to>
    <xdr:pic>
      <xdr:nvPicPr>
        <xdr:cNvPr id="55798" name="Picture 55797">
          <a:extLst>
            <a:ext uri="{FF2B5EF4-FFF2-40B4-BE49-F238E27FC236}">
              <a16:creationId xmlns:a16="http://schemas.microsoft.com/office/drawing/2014/main" id="{82F2939B-966F-2171-BC98-A99932BB1A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4134" y="63981013"/>
          <a:ext cx="304332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190</xdr:row>
      <xdr:rowOff>39688</xdr:rowOff>
    </xdr:from>
    <xdr:to>
      <xdr:col>2</xdr:col>
      <xdr:colOff>312738</xdr:colOff>
      <xdr:row>190</xdr:row>
      <xdr:rowOff>293688</xdr:rowOff>
    </xdr:to>
    <xdr:pic>
      <xdr:nvPicPr>
        <xdr:cNvPr id="55801" name="Picture 55800">
          <a:extLst>
            <a:ext uri="{FF2B5EF4-FFF2-40B4-BE49-F238E27FC236}">
              <a16:creationId xmlns:a16="http://schemas.microsoft.com/office/drawing/2014/main" id="{1DE7386D-6E5E-2286-9D7A-1CF2C8C2F3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643143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190</xdr:row>
      <xdr:rowOff>39688</xdr:rowOff>
    </xdr:from>
    <xdr:to>
      <xdr:col>6</xdr:col>
      <xdr:colOff>346075</xdr:colOff>
      <xdr:row>190</xdr:row>
      <xdr:rowOff>293688</xdr:rowOff>
    </xdr:to>
    <xdr:pic>
      <xdr:nvPicPr>
        <xdr:cNvPr id="55804" name="Picture 55803">
          <a:extLst>
            <a:ext uri="{FF2B5EF4-FFF2-40B4-BE49-F238E27FC236}">
              <a16:creationId xmlns:a16="http://schemas.microsoft.com/office/drawing/2014/main" id="{9268211C-25E9-04FD-81B5-146F5AE05F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643143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191</xdr:row>
      <xdr:rowOff>39688</xdr:rowOff>
    </xdr:from>
    <xdr:to>
      <xdr:col>2</xdr:col>
      <xdr:colOff>312738</xdr:colOff>
      <xdr:row>191</xdr:row>
      <xdr:rowOff>293688</xdr:rowOff>
    </xdr:to>
    <xdr:pic>
      <xdr:nvPicPr>
        <xdr:cNvPr id="55807" name="Picture 55806">
          <a:extLst>
            <a:ext uri="{FF2B5EF4-FFF2-40B4-BE49-F238E27FC236}">
              <a16:creationId xmlns:a16="http://schemas.microsoft.com/office/drawing/2014/main" id="{DED816C1-7A54-2B8C-BC5B-4EA5626191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646477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191</xdr:row>
      <xdr:rowOff>39688</xdr:rowOff>
    </xdr:from>
    <xdr:to>
      <xdr:col>6</xdr:col>
      <xdr:colOff>346075</xdr:colOff>
      <xdr:row>191</xdr:row>
      <xdr:rowOff>293688</xdr:rowOff>
    </xdr:to>
    <xdr:pic>
      <xdr:nvPicPr>
        <xdr:cNvPr id="55810" name="Picture 55809">
          <a:extLst>
            <a:ext uri="{FF2B5EF4-FFF2-40B4-BE49-F238E27FC236}">
              <a16:creationId xmlns:a16="http://schemas.microsoft.com/office/drawing/2014/main" id="{EEDB9678-4713-5951-4C7F-D30BB443BF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646477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192</xdr:row>
      <xdr:rowOff>39688</xdr:rowOff>
    </xdr:from>
    <xdr:to>
      <xdr:col>2</xdr:col>
      <xdr:colOff>312738</xdr:colOff>
      <xdr:row>192</xdr:row>
      <xdr:rowOff>293688</xdr:rowOff>
    </xdr:to>
    <xdr:pic>
      <xdr:nvPicPr>
        <xdr:cNvPr id="55813" name="Picture 55812">
          <a:extLst>
            <a:ext uri="{FF2B5EF4-FFF2-40B4-BE49-F238E27FC236}">
              <a16:creationId xmlns:a16="http://schemas.microsoft.com/office/drawing/2014/main" id="{0B094780-E440-4373-7F1A-C8D9C85825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649811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192</xdr:row>
      <xdr:rowOff>39688</xdr:rowOff>
    </xdr:from>
    <xdr:to>
      <xdr:col>6</xdr:col>
      <xdr:colOff>346075</xdr:colOff>
      <xdr:row>192</xdr:row>
      <xdr:rowOff>293688</xdr:rowOff>
    </xdr:to>
    <xdr:pic>
      <xdr:nvPicPr>
        <xdr:cNvPr id="55816" name="Picture 55815">
          <a:extLst>
            <a:ext uri="{FF2B5EF4-FFF2-40B4-BE49-F238E27FC236}">
              <a16:creationId xmlns:a16="http://schemas.microsoft.com/office/drawing/2014/main" id="{CA463BE8-FE21-5A77-C2C9-D7A1A4B34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649811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196</xdr:row>
      <xdr:rowOff>39688</xdr:rowOff>
    </xdr:from>
    <xdr:to>
      <xdr:col>2</xdr:col>
      <xdr:colOff>312738</xdr:colOff>
      <xdr:row>196</xdr:row>
      <xdr:rowOff>293688</xdr:rowOff>
    </xdr:to>
    <xdr:pic>
      <xdr:nvPicPr>
        <xdr:cNvPr id="55819" name="Picture 55818">
          <a:extLst>
            <a:ext uri="{FF2B5EF4-FFF2-40B4-BE49-F238E27FC236}">
              <a16:creationId xmlns:a16="http://schemas.microsoft.com/office/drawing/2014/main" id="{4547D25C-331C-2FD9-F33B-19D22D3350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663813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196</xdr:row>
      <xdr:rowOff>39688</xdr:rowOff>
    </xdr:from>
    <xdr:to>
      <xdr:col>6</xdr:col>
      <xdr:colOff>346075</xdr:colOff>
      <xdr:row>196</xdr:row>
      <xdr:rowOff>293688</xdr:rowOff>
    </xdr:to>
    <xdr:pic>
      <xdr:nvPicPr>
        <xdr:cNvPr id="55822" name="Picture 55821">
          <a:extLst>
            <a:ext uri="{FF2B5EF4-FFF2-40B4-BE49-F238E27FC236}">
              <a16:creationId xmlns:a16="http://schemas.microsoft.com/office/drawing/2014/main" id="{212BE753-C60E-C4CC-1C63-D4EA662A47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663813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197</xdr:row>
      <xdr:rowOff>39688</xdr:rowOff>
    </xdr:from>
    <xdr:to>
      <xdr:col>2</xdr:col>
      <xdr:colOff>312738</xdr:colOff>
      <xdr:row>197</xdr:row>
      <xdr:rowOff>293688</xdr:rowOff>
    </xdr:to>
    <xdr:pic>
      <xdr:nvPicPr>
        <xdr:cNvPr id="55825" name="Picture 55824">
          <a:extLst>
            <a:ext uri="{FF2B5EF4-FFF2-40B4-BE49-F238E27FC236}">
              <a16:creationId xmlns:a16="http://schemas.microsoft.com/office/drawing/2014/main" id="{59467464-0D3F-6D0E-8B6F-44CD36B9CC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667146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197</xdr:row>
      <xdr:rowOff>39688</xdr:rowOff>
    </xdr:from>
    <xdr:to>
      <xdr:col>6</xdr:col>
      <xdr:colOff>346075</xdr:colOff>
      <xdr:row>197</xdr:row>
      <xdr:rowOff>293688</xdr:rowOff>
    </xdr:to>
    <xdr:pic>
      <xdr:nvPicPr>
        <xdr:cNvPr id="55828" name="Picture 55827">
          <a:extLst>
            <a:ext uri="{FF2B5EF4-FFF2-40B4-BE49-F238E27FC236}">
              <a16:creationId xmlns:a16="http://schemas.microsoft.com/office/drawing/2014/main" id="{D274BCE8-04E0-9D06-725F-220611CAB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667146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198</xdr:row>
      <xdr:rowOff>39688</xdr:rowOff>
    </xdr:from>
    <xdr:to>
      <xdr:col>2</xdr:col>
      <xdr:colOff>312738</xdr:colOff>
      <xdr:row>198</xdr:row>
      <xdr:rowOff>293688</xdr:rowOff>
    </xdr:to>
    <xdr:pic>
      <xdr:nvPicPr>
        <xdr:cNvPr id="55831" name="Picture 55830">
          <a:extLst>
            <a:ext uri="{FF2B5EF4-FFF2-40B4-BE49-F238E27FC236}">
              <a16:creationId xmlns:a16="http://schemas.microsoft.com/office/drawing/2014/main" id="{79545006-A561-F1B0-7E3D-CCE039CBF0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670480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198</xdr:row>
      <xdr:rowOff>39688</xdr:rowOff>
    </xdr:from>
    <xdr:to>
      <xdr:col>6</xdr:col>
      <xdr:colOff>346075</xdr:colOff>
      <xdr:row>198</xdr:row>
      <xdr:rowOff>293688</xdr:rowOff>
    </xdr:to>
    <xdr:pic>
      <xdr:nvPicPr>
        <xdr:cNvPr id="55834" name="Picture 55833">
          <a:extLst>
            <a:ext uri="{FF2B5EF4-FFF2-40B4-BE49-F238E27FC236}">
              <a16:creationId xmlns:a16="http://schemas.microsoft.com/office/drawing/2014/main" id="{47E16617-2AC2-E4DF-B02C-1D4072A633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670480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199</xdr:row>
      <xdr:rowOff>39688</xdr:rowOff>
    </xdr:from>
    <xdr:to>
      <xdr:col>2</xdr:col>
      <xdr:colOff>312738</xdr:colOff>
      <xdr:row>199</xdr:row>
      <xdr:rowOff>293688</xdr:rowOff>
    </xdr:to>
    <xdr:pic>
      <xdr:nvPicPr>
        <xdr:cNvPr id="55837" name="Picture 55836">
          <a:extLst>
            <a:ext uri="{FF2B5EF4-FFF2-40B4-BE49-F238E27FC236}">
              <a16:creationId xmlns:a16="http://schemas.microsoft.com/office/drawing/2014/main" id="{B16A13F7-3F44-960E-04CF-EEB42917B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673814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199</xdr:row>
      <xdr:rowOff>39688</xdr:rowOff>
    </xdr:from>
    <xdr:to>
      <xdr:col>6</xdr:col>
      <xdr:colOff>346075</xdr:colOff>
      <xdr:row>199</xdr:row>
      <xdr:rowOff>293688</xdr:rowOff>
    </xdr:to>
    <xdr:pic>
      <xdr:nvPicPr>
        <xdr:cNvPr id="55840" name="Picture 55839">
          <a:extLst>
            <a:ext uri="{FF2B5EF4-FFF2-40B4-BE49-F238E27FC236}">
              <a16:creationId xmlns:a16="http://schemas.microsoft.com/office/drawing/2014/main" id="{CCE133C6-9C39-B5AF-28D9-EBB7DBFAA3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673814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200</xdr:row>
      <xdr:rowOff>39688</xdr:rowOff>
    </xdr:from>
    <xdr:to>
      <xdr:col>2</xdr:col>
      <xdr:colOff>312738</xdr:colOff>
      <xdr:row>200</xdr:row>
      <xdr:rowOff>293688</xdr:rowOff>
    </xdr:to>
    <xdr:pic>
      <xdr:nvPicPr>
        <xdr:cNvPr id="55843" name="Picture 55842">
          <a:extLst>
            <a:ext uri="{FF2B5EF4-FFF2-40B4-BE49-F238E27FC236}">
              <a16:creationId xmlns:a16="http://schemas.microsoft.com/office/drawing/2014/main" id="{7B0695CD-3E68-73E6-9B43-26D2C3BE4A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677148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200</xdr:row>
      <xdr:rowOff>39688</xdr:rowOff>
    </xdr:from>
    <xdr:to>
      <xdr:col>6</xdr:col>
      <xdr:colOff>346075</xdr:colOff>
      <xdr:row>200</xdr:row>
      <xdr:rowOff>293688</xdr:rowOff>
    </xdr:to>
    <xdr:pic>
      <xdr:nvPicPr>
        <xdr:cNvPr id="55846" name="Picture 55845">
          <a:extLst>
            <a:ext uri="{FF2B5EF4-FFF2-40B4-BE49-F238E27FC236}">
              <a16:creationId xmlns:a16="http://schemas.microsoft.com/office/drawing/2014/main" id="{B9CF422A-1142-5CD0-5043-915487EC77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677148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82366</xdr:colOff>
      <xdr:row>201</xdr:row>
      <xdr:rowOff>39688</xdr:rowOff>
    </xdr:from>
    <xdr:to>
      <xdr:col>2</xdr:col>
      <xdr:colOff>289110</xdr:colOff>
      <xdr:row>201</xdr:row>
      <xdr:rowOff>293688</xdr:rowOff>
    </xdr:to>
    <xdr:pic>
      <xdr:nvPicPr>
        <xdr:cNvPr id="55849" name="Picture 55848">
          <a:extLst>
            <a:ext uri="{FF2B5EF4-FFF2-40B4-BE49-F238E27FC236}">
              <a16:creationId xmlns:a16="http://schemas.microsoft.com/office/drawing/2014/main" id="{4E19A8E3-67DB-6F61-E5AB-D87A92EA43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391" y="68048188"/>
          <a:ext cx="206744" cy="254000"/>
        </a:xfrm>
        <a:prstGeom prst="rect">
          <a:avLst/>
        </a:prstGeom>
      </xdr:spPr>
    </xdr:pic>
    <xdr:clientData/>
  </xdr:twoCellAnchor>
  <xdr:twoCellAnchor>
    <xdr:from>
      <xdr:col>6</xdr:col>
      <xdr:colOff>149225</xdr:colOff>
      <xdr:row>201</xdr:row>
      <xdr:rowOff>39688</xdr:rowOff>
    </xdr:from>
    <xdr:to>
      <xdr:col>6</xdr:col>
      <xdr:colOff>288925</xdr:colOff>
      <xdr:row>201</xdr:row>
      <xdr:rowOff>293688</xdr:rowOff>
    </xdr:to>
    <xdr:pic>
      <xdr:nvPicPr>
        <xdr:cNvPr id="55852" name="Picture 55851">
          <a:extLst>
            <a:ext uri="{FF2B5EF4-FFF2-40B4-BE49-F238E27FC236}">
              <a16:creationId xmlns:a16="http://schemas.microsoft.com/office/drawing/2014/main" id="{9DC71319-2ECA-5540-4260-942280046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450" y="68048188"/>
          <a:ext cx="1397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202</xdr:row>
      <xdr:rowOff>39688</xdr:rowOff>
    </xdr:from>
    <xdr:to>
      <xdr:col>2</xdr:col>
      <xdr:colOff>312738</xdr:colOff>
      <xdr:row>202</xdr:row>
      <xdr:rowOff>293688</xdr:rowOff>
    </xdr:to>
    <xdr:pic>
      <xdr:nvPicPr>
        <xdr:cNvPr id="55855" name="Picture 55854">
          <a:extLst>
            <a:ext uri="{FF2B5EF4-FFF2-40B4-BE49-F238E27FC236}">
              <a16:creationId xmlns:a16="http://schemas.microsoft.com/office/drawing/2014/main" id="{1CD6F332-4D75-FCFA-2060-D2EC21E879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683815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66909</xdr:colOff>
      <xdr:row>202</xdr:row>
      <xdr:rowOff>39688</xdr:rowOff>
    </xdr:from>
    <xdr:to>
      <xdr:col>6</xdr:col>
      <xdr:colOff>371241</xdr:colOff>
      <xdr:row>202</xdr:row>
      <xdr:rowOff>293688</xdr:rowOff>
    </xdr:to>
    <xdr:pic>
      <xdr:nvPicPr>
        <xdr:cNvPr id="55858" name="Picture 55857">
          <a:extLst>
            <a:ext uri="{FF2B5EF4-FFF2-40B4-BE49-F238E27FC236}">
              <a16:creationId xmlns:a16="http://schemas.microsoft.com/office/drawing/2014/main" id="{BFDE6F9E-8F8F-C997-2ABF-8937643287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4134" y="68381563"/>
          <a:ext cx="304332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203</xdr:row>
      <xdr:rowOff>39688</xdr:rowOff>
    </xdr:from>
    <xdr:to>
      <xdr:col>2</xdr:col>
      <xdr:colOff>312738</xdr:colOff>
      <xdr:row>203</xdr:row>
      <xdr:rowOff>293688</xdr:rowOff>
    </xdr:to>
    <xdr:pic>
      <xdr:nvPicPr>
        <xdr:cNvPr id="55861" name="Picture 55860">
          <a:extLst>
            <a:ext uri="{FF2B5EF4-FFF2-40B4-BE49-F238E27FC236}">
              <a16:creationId xmlns:a16="http://schemas.microsoft.com/office/drawing/2014/main" id="{97339ACD-3FD4-C11A-EF96-1884E577E5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687149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108832</xdr:colOff>
      <xdr:row>203</xdr:row>
      <xdr:rowOff>39688</xdr:rowOff>
    </xdr:from>
    <xdr:to>
      <xdr:col>6</xdr:col>
      <xdr:colOff>329318</xdr:colOff>
      <xdr:row>203</xdr:row>
      <xdr:rowOff>293688</xdr:rowOff>
    </xdr:to>
    <xdr:pic>
      <xdr:nvPicPr>
        <xdr:cNvPr id="55864" name="Picture 55863">
          <a:extLst>
            <a:ext uri="{FF2B5EF4-FFF2-40B4-BE49-F238E27FC236}">
              <a16:creationId xmlns:a16="http://schemas.microsoft.com/office/drawing/2014/main" id="{03396CE3-62A8-3FCB-8F96-1723F9812E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6057" y="68714938"/>
          <a:ext cx="220486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204</xdr:row>
      <xdr:rowOff>39688</xdr:rowOff>
    </xdr:from>
    <xdr:to>
      <xdr:col>2</xdr:col>
      <xdr:colOff>312738</xdr:colOff>
      <xdr:row>204</xdr:row>
      <xdr:rowOff>293688</xdr:rowOff>
    </xdr:to>
    <xdr:pic>
      <xdr:nvPicPr>
        <xdr:cNvPr id="55867" name="Picture 55866">
          <a:extLst>
            <a:ext uri="{FF2B5EF4-FFF2-40B4-BE49-F238E27FC236}">
              <a16:creationId xmlns:a16="http://schemas.microsoft.com/office/drawing/2014/main" id="{3E6C86FA-280C-6DDE-4B8C-3F334C8CA5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690483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204</xdr:row>
      <xdr:rowOff>39688</xdr:rowOff>
    </xdr:from>
    <xdr:to>
      <xdr:col>6</xdr:col>
      <xdr:colOff>346075</xdr:colOff>
      <xdr:row>204</xdr:row>
      <xdr:rowOff>293688</xdr:rowOff>
    </xdr:to>
    <xdr:pic>
      <xdr:nvPicPr>
        <xdr:cNvPr id="55870" name="Picture 55869">
          <a:extLst>
            <a:ext uri="{FF2B5EF4-FFF2-40B4-BE49-F238E27FC236}">
              <a16:creationId xmlns:a16="http://schemas.microsoft.com/office/drawing/2014/main" id="{7336C8AC-7C9B-7FDD-7F11-CBD6D72FA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690483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205</xdr:row>
      <xdr:rowOff>39688</xdr:rowOff>
    </xdr:from>
    <xdr:to>
      <xdr:col>2</xdr:col>
      <xdr:colOff>312738</xdr:colOff>
      <xdr:row>205</xdr:row>
      <xdr:rowOff>293688</xdr:rowOff>
    </xdr:to>
    <xdr:pic>
      <xdr:nvPicPr>
        <xdr:cNvPr id="55873" name="Picture 55872">
          <a:extLst>
            <a:ext uri="{FF2B5EF4-FFF2-40B4-BE49-F238E27FC236}">
              <a16:creationId xmlns:a16="http://schemas.microsoft.com/office/drawing/2014/main" id="{170D6BE3-91B0-501F-579E-8C00ADDBC6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693816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205</xdr:row>
      <xdr:rowOff>39688</xdr:rowOff>
    </xdr:from>
    <xdr:to>
      <xdr:col>6</xdr:col>
      <xdr:colOff>346075</xdr:colOff>
      <xdr:row>205</xdr:row>
      <xdr:rowOff>293688</xdr:rowOff>
    </xdr:to>
    <xdr:pic>
      <xdr:nvPicPr>
        <xdr:cNvPr id="55876" name="Picture 55875">
          <a:extLst>
            <a:ext uri="{FF2B5EF4-FFF2-40B4-BE49-F238E27FC236}">
              <a16:creationId xmlns:a16="http://schemas.microsoft.com/office/drawing/2014/main" id="{926FFA08-42F5-7D27-27A2-1A286C1673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693816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209</xdr:row>
      <xdr:rowOff>39688</xdr:rowOff>
    </xdr:from>
    <xdr:to>
      <xdr:col>2</xdr:col>
      <xdr:colOff>312738</xdr:colOff>
      <xdr:row>209</xdr:row>
      <xdr:rowOff>293688</xdr:rowOff>
    </xdr:to>
    <xdr:pic>
      <xdr:nvPicPr>
        <xdr:cNvPr id="55879" name="Picture 55878">
          <a:extLst>
            <a:ext uri="{FF2B5EF4-FFF2-40B4-BE49-F238E27FC236}">
              <a16:creationId xmlns:a16="http://schemas.microsoft.com/office/drawing/2014/main" id="{605C2115-1312-EA46-2E9F-A247AF369C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07818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209</xdr:row>
      <xdr:rowOff>39688</xdr:rowOff>
    </xdr:from>
    <xdr:to>
      <xdr:col>6</xdr:col>
      <xdr:colOff>346075</xdr:colOff>
      <xdr:row>209</xdr:row>
      <xdr:rowOff>293688</xdr:rowOff>
    </xdr:to>
    <xdr:pic>
      <xdr:nvPicPr>
        <xdr:cNvPr id="55882" name="Picture 55881">
          <a:extLst>
            <a:ext uri="{FF2B5EF4-FFF2-40B4-BE49-F238E27FC236}">
              <a16:creationId xmlns:a16="http://schemas.microsoft.com/office/drawing/2014/main" id="{9797317D-FF13-0A31-B4CD-BEA69CF9BE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07818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210</xdr:row>
      <xdr:rowOff>39688</xdr:rowOff>
    </xdr:from>
    <xdr:to>
      <xdr:col>2</xdr:col>
      <xdr:colOff>312738</xdr:colOff>
      <xdr:row>210</xdr:row>
      <xdr:rowOff>293688</xdr:rowOff>
    </xdr:to>
    <xdr:pic>
      <xdr:nvPicPr>
        <xdr:cNvPr id="55885" name="Picture 55884">
          <a:extLst>
            <a:ext uri="{FF2B5EF4-FFF2-40B4-BE49-F238E27FC236}">
              <a16:creationId xmlns:a16="http://schemas.microsoft.com/office/drawing/2014/main" id="{2B5D8FCC-C9AD-E64D-4A97-6D784DD98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11152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115703</xdr:colOff>
      <xdr:row>210</xdr:row>
      <xdr:rowOff>39688</xdr:rowOff>
    </xdr:from>
    <xdr:to>
      <xdr:col>6</xdr:col>
      <xdr:colOff>322447</xdr:colOff>
      <xdr:row>210</xdr:row>
      <xdr:rowOff>293688</xdr:rowOff>
    </xdr:to>
    <xdr:pic>
      <xdr:nvPicPr>
        <xdr:cNvPr id="55888" name="Picture 55887">
          <a:extLst>
            <a:ext uri="{FF2B5EF4-FFF2-40B4-BE49-F238E27FC236}">
              <a16:creationId xmlns:a16="http://schemas.microsoft.com/office/drawing/2014/main" id="{45E255B7-9270-AE0D-332B-11A6E200AC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928" y="71115238"/>
          <a:ext cx="206744" cy="254000"/>
        </a:xfrm>
        <a:prstGeom prst="rect">
          <a:avLst/>
        </a:prstGeom>
      </xdr:spPr>
    </xdr:pic>
    <xdr:clientData/>
  </xdr:twoCellAnchor>
  <xdr:twoCellAnchor>
    <xdr:from>
      <xdr:col>2</xdr:col>
      <xdr:colOff>75495</xdr:colOff>
      <xdr:row>211</xdr:row>
      <xdr:rowOff>39688</xdr:rowOff>
    </xdr:from>
    <xdr:to>
      <xdr:col>2</xdr:col>
      <xdr:colOff>295981</xdr:colOff>
      <xdr:row>211</xdr:row>
      <xdr:rowOff>293688</xdr:rowOff>
    </xdr:to>
    <xdr:pic>
      <xdr:nvPicPr>
        <xdr:cNvPr id="55891" name="Picture 55890">
          <a:extLst>
            <a:ext uri="{FF2B5EF4-FFF2-40B4-BE49-F238E27FC236}">
              <a16:creationId xmlns:a16="http://schemas.microsoft.com/office/drawing/2014/main" id="{61A656E6-35EE-8173-26DA-B0C325BF0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520" y="71448613"/>
          <a:ext cx="220486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211</xdr:row>
      <xdr:rowOff>39688</xdr:rowOff>
    </xdr:from>
    <xdr:to>
      <xdr:col>6</xdr:col>
      <xdr:colOff>346075</xdr:colOff>
      <xdr:row>211</xdr:row>
      <xdr:rowOff>293688</xdr:rowOff>
    </xdr:to>
    <xdr:pic>
      <xdr:nvPicPr>
        <xdr:cNvPr id="55894" name="Picture 55893">
          <a:extLst>
            <a:ext uri="{FF2B5EF4-FFF2-40B4-BE49-F238E27FC236}">
              <a16:creationId xmlns:a16="http://schemas.microsoft.com/office/drawing/2014/main" id="{24D9B486-1985-57BE-4E31-F2B724C977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14486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212</xdr:row>
      <xdr:rowOff>39688</xdr:rowOff>
    </xdr:from>
    <xdr:to>
      <xdr:col>2</xdr:col>
      <xdr:colOff>312738</xdr:colOff>
      <xdr:row>212</xdr:row>
      <xdr:rowOff>293688</xdr:rowOff>
    </xdr:to>
    <xdr:pic>
      <xdr:nvPicPr>
        <xdr:cNvPr id="55897" name="Picture 55896">
          <a:extLst>
            <a:ext uri="{FF2B5EF4-FFF2-40B4-BE49-F238E27FC236}">
              <a16:creationId xmlns:a16="http://schemas.microsoft.com/office/drawing/2014/main" id="{407B51E5-5542-7F6A-7039-498E8B8EA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17819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212</xdr:row>
      <xdr:rowOff>39688</xdr:rowOff>
    </xdr:from>
    <xdr:to>
      <xdr:col>6</xdr:col>
      <xdr:colOff>346075</xdr:colOff>
      <xdr:row>212</xdr:row>
      <xdr:rowOff>293688</xdr:rowOff>
    </xdr:to>
    <xdr:pic>
      <xdr:nvPicPr>
        <xdr:cNvPr id="55900" name="Picture 55899">
          <a:extLst>
            <a:ext uri="{FF2B5EF4-FFF2-40B4-BE49-F238E27FC236}">
              <a16:creationId xmlns:a16="http://schemas.microsoft.com/office/drawing/2014/main" id="{F8899757-8F95-6793-52C7-E9B951A214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17819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213</xdr:row>
      <xdr:rowOff>39688</xdr:rowOff>
    </xdr:from>
    <xdr:to>
      <xdr:col>2</xdr:col>
      <xdr:colOff>312738</xdr:colOff>
      <xdr:row>213</xdr:row>
      <xdr:rowOff>293688</xdr:rowOff>
    </xdr:to>
    <xdr:pic>
      <xdr:nvPicPr>
        <xdr:cNvPr id="55903" name="Picture 55902">
          <a:extLst>
            <a:ext uri="{FF2B5EF4-FFF2-40B4-BE49-F238E27FC236}">
              <a16:creationId xmlns:a16="http://schemas.microsoft.com/office/drawing/2014/main" id="{0C0D0FF5-4E57-7366-FFD5-33C0B5B2F0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21153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213</xdr:row>
      <xdr:rowOff>39688</xdr:rowOff>
    </xdr:from>
    <xdr:to>
      <xdr:col>6</xdr:col>
      <xdr:colOff>346075</xdr:colOff>
      <xdr:row>213</xdr:row>
      <xdr:rowOff>293688</xdr:rowOff>
    </xdr:to>
    <xdr:pic>
      <xdr:nvPicPr>
        <xdr:cNvPr id="55906" name="Picture 55905">
          <a:extLst>
            <a:ext uri="{FF2B5EF4-FFF2-40B4-BE49-F238E27FC236}">
              <a16:creationId xmlns:a16="http://schemas.microsoft.com/office/drawing/2014/main" id="{BC598619-5C25-6869-DE52-A718EFB65A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21153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115888</xdr:colOff>
      <xdr:row>214</xdr:row>
      <xdr:rowOff>39688</xdr:rowOff>
    </xdr:from>
    <xdr:to>
      <xdr:col>2</xdr:col>
      <xdr:colOff>255588</xdr:colOff>
      <xdr:row>214</xdr:row>
      <xdr:rowOff>293688</xdr:rowOff>
    </xdr:to>
    <xdr:pic>
      <xdr:nvPicPr>
        <xdr:cNvPr id="55909" name="Picture 55908">
          <a:extLst>
            <a:ext uri="{FF2B5EF4-FFF2-40B4-BE49-F238E27FC236}">
              <a16:creationId xmlns:a16="http://schemas.microsoft.com/office/drawing/2014/main" id="{A4F6D57B-4676-5F53-6952-BAA87CB7A5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3913" y="72448738"/>
          <a:ext cx="1397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214</xdr:row>
      <xdr:rowOff>39688</xdr:rowOff>
    </xdr:from>
    <xdr:to>
      <xdr:col>6</xdr:col>
      <xdr:colOff>346075</xdr:colOff>
      <xdr:row>214</xdr:row>
      <xdr:rowOff>293688</xdr:rowOff>
    </xdr:to>
    <xdr:pic>
      <xdr:nvPicPr>
        <xdr:cNvPr id="55912" name="Picture 55911">
          <a:extLst>
            <a:ext uri="{FF2B5EF4-FFF2-40B4-BE49-F238E27FC236}">
              <a16:creationId xmlns:a16="http://schemas.microsoft.com/office/drawing/2014/main" id="{B04A53A3-6D4D-2C4D-CE54-7DEE0DC639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24487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215</xdr:row>
      <xdr:rowOff>39688</xdr:rowOff>
    </xdr:from>
    <xdr:to>
      <xdr:col>2</xdr:col>
      <xdr:colOff>312738</xdr:colOff>
      <xdr:row>215</xdr:row>
      <xdr:rowOff>293688</xdr:rowOff>
    </xdr:to>
    <xdr:pic>
      <xdr:nvPicPr>
        <xdr:cNvPr id="55915" name="Picture 55914">
          <a:extLst>
            <a:ext uri="{FF2B5EF4-FFF2-40B4-BE49-F238E27FC236}">
              <a16:creationId xmlns:a16="http://schemas.microsoft.com/office/drawing/2014/main" id="{1D687D4B-D2AA-52C3-F784-13706799C1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27821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215</xdr:row>
      <xdr:rowOff>39688</xdr:rowOff>
    </xdr:from>
    <xdr:to>
      <xdr:col>6</xdr:col>
      <xdr:colOff>346075</xdr:colOff>
      <xdr:row>215</xdr:row>
      <xdr:rowOff>293688</xdr:rowOff>
    </xdr:to>
    <xdr:pic>
      <xdr:nvPicPr>
        <xdr:cNvPr id="55918" name="Picture 55917">
          <a:extLst>
            <a:ext uri="{FF2B5EF4-FFF2-40B4-BE49-F238E27FC236}">
              <a16:creationId xmlns:a16="http://schemas.microsoft.com/office/drawing/2014/main" id="{C5CE8B4C-DA64-ACE9-B034-BFB49FDA1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27821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216</xdr:row>
      <xdr:rowOff>39688</xdr:rowOff>
    </xdr:from>
    <xdr:to>
      <xdr:col>2</xdr:col>
      <xdr:colOff>312738</xdr:colOff>
      <xdr:row>216</xdr:row>
      <xdr:rowOff>293688</xdr:rowOff>
    </xdr:to>
    <xdr:pic>
      <xdr:nvPicPr>
        <xdr:cNvPr id="55921" name="Picture 55920">
          <a:extLst>
            <a:ext uri="{FF2B5EF4-FFF2-40B4-BE49-F238E27FC236}">
              <a16:creationId xmlns:a16="http://schemas.microsoft.com/office/drawing/2014/main" id="{70FF0D03-4CF9-40E8-41D9-9D3B76EAD7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31154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216</xdr:row>
      <xdr:rowOff>39688</xdr:rowOff>
    </xdr:from>
    <xdr:to>
      <xdr:col>6</xdr:col>
      <xdr:colOff>346075</xdr:colOff>
      <xdr:row>216</xdr:row>
      <xdr:rowOff>293688</xdr:rowOff>
    </xdr:to>
    <xdr:pic>
      <xdr:nvPicPr>
        <xdr:cNvPr id="55924" name="Picture 55923">
          <a:extLst>
            <a:ext uri="{FF2B5EF4-FFF2-40B4-BE49-F238E27FC236}">
              <a16:creationId xmlns:a16="http://schemas.microsoft.com/office/drawing/2014/main" id="{04744D10-B326-E7BE-1F4E-A0A07832A2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31154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33572</xdr:colOff>
      <xdr:row>217</xdr:row>
      <xdr:rowOff>39688</xdr:rowOff>
    </xdr:from>
    <xdr:to>
      <xdr:col>2</xdr:col>
      <xdr:colOff>337904</xdr:colOff>
      <xdr:row>217</xdr:row>
      <xdr:rowOff>293688</xdr:rowOff>
    </xdr:to>
    <xdr:pic>
      <xdr:nvPicPr>
        <xdr:cNvPr id="55927" name="Picture 55926">
          <a:extLst>
            <a:ext uri="{FF2B5EF4-FFF2-40B4-BE49-F238E27FC236}">
              <a16:creationId xmlns:a16="http://schemas.microsoft.com/office/drawing/2014/main" id="{E43082F4-C68C-3C74-5FA3-BC36CFA3D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597" y="73448863"/>
          <a:ext cx="304332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217</xdr:row>
      <xdr:rowOff>39688</xdr:rowOff>
    </xdr:from>
    <xdr:to>
      <xdr:col>6</xdr:col>
      <xdr:colOff>346075</xdr:colOff>
      <xdr:row>217</xdr:row>
      <xdr:rowOff>293688</xdr:rowOff>
    </xdr:to>
    <xdr:pic>
      <xdr:nvPicPr>
        <xdr:cNvPr id="55930" name="Picture 55929">
          <a:extLst>
            <a:ext uri="{FF2B5EF4-FFF2-40B4-BE49-F238E27FC236}">
              <a16:creationId xmlns:a16="http://schemas.microsoft.com/office/drawing/2014/main" id="{32A2EAA2-E490-C243-3AF0-906DF1839B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34488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218</xdr:row>
      <xdr:rowOff>39688</xdr:rowOff>
    </xdr:from>
    <xdr:to>
      <xdr:col>2</xdr:col>
      <xdr:colOff>312738</xdr:colOff>
      <xdr:row>218</xdr:row>
      <xdr:rowOff>293688</xdr:rowOff>
    </xdr:to>
    <xdr:pic>
      <xdr:nvPicPr>
        <xdr:cNvPr id="55933" name="Picture 55932">
          <a:extLst>
            <a:ext uri="{FF2B5EF4-FFF2-40B4-BE49-F238E27FC236}">
              <a16:creationId xmlns:a16="http://schemas.microsoft.com/office/drawing/2014/main" id="{19EFCB77-78C0-CE72-3EAE-BB23E0D985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37822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218</xdr:row>
      <xdr:rowOff>39688</xdr:rowOff>
    </xdr:from>
    <xdr:to>
      <xdr:col>6</xdr:col>
      <xdr:colOff>346075</xdr:colOff>
      <xdr:row>218</xdr:row>
      <xdr:rowOff>293688</xdr:rowOff>
    </xdr:to>
    <xdr:pic>
      <xdr:nvPicPr>
        <xdr:cNvPr id="55936" name="Picture 55935">
          <a:extLst>
            <a:ext uri="{FF2B5EF4-FFF2-40B4-BE49-F238E27FC236}">
              <a16:creationId xmlns:a16="http://schemas.microsoft.com/office/drawing/2014/main" id="{47871CE8-8634-1569-53D5-6981F266D3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37822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222</xdr:row>
      <xdr:rowOff>39688</xdr:rowOff>
    </xdr:from>
    <xdr:to>
      <xdr:col>2</xdr:col>
      <xdr:colOff>312738</xdr:colOff>
      <xdr:row>222</xdr:row>
      <xdr:rowOff>293688</xdr:rowOff>
    </xdr:to>
    <xdr:pic>
      <xdr:nvPicPr>
        <xdr:cNvPr id="55939" name="Picture 55938">
          <a:extLst>
            <a:ext uri="{FF2B5EF4-FFF2-40B4-BE49-F238E27FC236}">
              <a16:creationId xmlns:a16="http://schemas.microsoft.com/office/drawing/2014/main" id="{2AFEFCA0-D31C-81E4-98CD-002FB24FC9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51824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222</xdr:row>
      <xdr:rowOff>39688</xdr:rowOff>
    </xdr:from>
    <xdr:to>
      <xdr:col>6</xdr:col>
      <xdr:colOff>346075</xdr:colOff>
      <xdr:row>222</xdr:row>
      <xdr:rowOff>293688</xdr:rowOff>
    </xdr:to>
    <xdr:pic>
      <xdr:nvPicPr>
        <xdr:cNvPr id="55942" name="Picture 55941">
          <a:extLst>
            <a:ext uri="{FF2B5EF4-FFF2-40B4-BE49-F238E27FC236}">
              <a16:creationId xmlns:a16="http://schemas.microsoft.com/office/drawing/2014/main" id="{A2C25ED3-EA89-4ACF-F556-3980609281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51824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223</xdr:row>
      <xdr:rowOff>39688</xdr:rowOff>
    </xdr:from>
    <xdr:to>
      <xdr:col>2</xdr:col>
      <xdr:colOff>312738</xdr:colOff>
      <xdr:row>223</xdr:row>
      <xdr:rowOff>293688</xdr:rowOff>
    </xdr:to>
    <xdr:pic>
      <xdr:nvPicPr>
        <xdr:cNvPr id="55945" name="Picture 55944">
          <a:extLst>
            <a:ext uri="{FF2B5EF4-FFF2-40B4-BE49-F238E27FC236}">
              <a16:creationId xmlns:a16="http://schemas.microsoft.com/office/drawing/2014/main" id="{AE564C60-24BC-1377-678F-F770E4C882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55157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108832</xdr:colOff>
      <xdr:row>223</xdr:row>
      <xdr:rowOff>39688</xdr:rowOff>
    </xdr:from>
    <xdr:to>
      <xdr:col>6</xdr:col>
      <xdr:colOff>329318</xdr:colOff>
      <xdr:row>223</xdr:row>
      <xdr:rowOff>293688</xdr:rowOff>
    </xdr:to>
    <xdr:pic>
      <xdr:nvPicPr>
        <xdr:cNvPr id="55948" name="Picture 55947">
          <a:extLst>
            <a:ext uri="{FF2B5EF4-FFF2-40B4-BE49-F238E27FC236}">
              <a16:creationId xmlns:a16="http://schemas.microsoft.com/office/drawing/2014/main" id="{9883BE36-6B34-E569-A279-BC259C1D06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6057" y="75515788"/>
          <a:ext cx="220486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224</xdr:row>
      <xdr:rowOff>39688</xdr:rowOff>
    </xdr:from>
    <xdr:to>
      <xdr:col>2</xdr:col>
      <xdr:colOff>312738</xdr:colOff>
      <xdr:row>224</xdr:row>
      <xdr:rowOff>293688</xdr:rowOff>
    </xdr:to>
    <xdr:pic>
      <xdr:nvPicPr>
        <xdr:cNvPr id="55951" name="Picture 55950">
          <a:extLst>
            <a:ext uri="{FF2B5EF4-FFF2-40B4-BE49-F238E27FC236}">
              <a16:creationId xmlns:a16="http://schemas.microsoft.com/office/drawing/2014/main" id="{AA8F1766-07F7-1FBF-C30B-3DD7B8C1D8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58491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66909</xdr:colOff>
      <xdr:row>224</xdr:row>
      <xdr:rowOff>39688</xdr:rowOff>
    </xdr:from>
    <xdr:to>
      <xdr:col>6</xdr:col>
      <xdr:colOff>371241</xdr:colOff>
      <xdr:row>224</xdr:row>
      <xdr:rowOff>293688</xdr:rowOff>
    </xdr:to>
    <xdr:pic>
      <xdr:nvPicPr>
        <xdr:cNvPr id="55954" name="Picture 55953">
          <a:extLst>
            <a:ext uri="{FF2B5EF4-FFF2-40B4-BE49-F238E27FC236}">
              <a16:creationId xmlns:a16="http://schemas.microsoft.com/office/drawing/2014/main" id="{34D559C0-53AF-4B74-80D9-07FE750106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4134" y="75849163"/>
          <a:ext cx="304332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225</xdr:row>
      <xdr:rowOff>39688</xdr:rowOff>
    </xdr:from>
    <xdr:to>
      <xdr:col>2</xdr:col>
      <xdr:colOff>312738</xdr:colOff>
      <xdr:row>225</xdr:row>
      <xdr:rowOff>293688</xdr:rowOff>
    </xdr:to>
    <xdr:pic>
      <xdr:nvPicPr>
        <xdr:cNvPr id="55957" name="Picture 55956">
          <a:extLst>
            <a:ext uri="{FF2B5EF4-FFF2-40B4-BE49-F238E27FC236}">
              <a16:creationId xmlns:a16="http://schemas.microsoft.com/office/drawing/2014/main" id="{14C70415-B006-0AC5-B962-4C3CA9367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61825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225</xdr:row>
      <xdr:rowOff>39688</xdr:rowOff>
    </xdr:from>
    <xdr:to>
      <xdr:col>6</xdr:col>
      <xdr:colOff>346075</xdr:colOff>
      <xdr:row>225</xdr:row>
      <xdr:rowOff>293688</xdr:rowOff>
    </xdr:to>
    <xdr:pic>
      <xdr:nvPicPr>
        <xdr:cNvPr id="55960" name="Picture 55959">
          <a:extLst>
            <a:ext uri="{FF2B5EF4-FFF2-40B4-BE49-F238E27FC236}">
              <a16:creationId xmlns:a16="http://schemas.microsoft.com/office/drawing/2014/main" id="{2F6F0091-1A0F-1C7A-7DE8-ADA0F63DD2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61825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226</xdr:row>
      <xdr:rowOff>39688</xdr:rowOff>
    </xdr:from>
    <xdr:to>
      <xdr:col>2</xdr:col>
      <xdr:colOff>312738</xdr:colOff>
      <xdr:row>226</xdr:row>
      <xdr:rowOff>293688</xdr:rowOff>
    </xdr:to>
    <xdr:pic>
      <xdr:nvPicPr>
        <xdr:cNvPr id="55963" name="Picture 55962">
          <a:extLst>
            <a:ext uri="{FF2B5EF4-FFF2-40B4-BE49-F238E27FC236}">
              <a16:creationId xmlns:a16="http://schemas.microsoft.com/office/drawing/2014/main" id="{D0DCAD71-BAB1-AF46-DEB7-72CCAB45B2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65159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226</xdr:row>
      <xdr:rowOff>39688</xdr:rowOff>
    </xdr:from>
    <xdr:to>
      <xdr:col>6</xdr:col>
      <xdr:colOff>346075</xdr:colOff>
      <xdr:row>226</xdr:row>
      <xdr:rowOff>293688</xdr:rowOff>
    </xdr:to>
    <xdr:pic>
      <xdr:nvPicPr>
        <xdr:cNvPr id="55966" name="Picture 55965">
          <a:extLst>
            <a:ext uri="{FF2B5EF4-FFF2-40B4-BE49-F238E27FC236}">
              <a16:creationId xmlns:a16="http://schemas.microsoft.com/office/drawing/2014/main" id="{960890B7-C3CA-4A19-62B9-3F1E4599AA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65159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82366</xdr:colOff>
      <xdr:row>227</xdr:row>
      <xdr:rowOff>39688</xdr:rowOff>
    </xdr:from>
    <xdr:to>
      <xdr:col>2</xdr:col>
      <xdr:colOff>289110</xdr:colOff>
      <xdr:row>227</xdr:row>
      <xdr:rowOff>293688</xdr:rowOff>
    </xdr:to>
    <xdr:pic>
      <xdr:nvPicPr>
        <xdr:cNvPr id="55969" name="Picture 55968">
          <a:extLst>
            <a:ext uri="{FF2B5EF4-FFF2-40B4-BE49-F238E27FC236}">
              <a16:creationId xmlns:a16="http://schemas.microsoft.com/office/drawing/2014/main" id="{D6325AA9-50CA-7DC3-607A-DE9DDABC59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391" y="76849288"/>
          <a:ext cx="206744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227</xdr:row>
      <xdr:rowOff>39688</xdr:rowOff>
    </xdr:from>
    <xdr:to>
      <xdr:col>6</xdr:col>
      <xdr:colOff>346075</xdr:colOff>
      <xdr:row>227</xdr:row>
      <xdr:rowOff>293688</xdr:rowOff>
    </xdr:to>
    <xdr:pic>
      <xdr:nvPicPr>
        <xdr:cNvPr id="55972" name="Picture 55971">
          <a:extLst>
            <a:ext uri="{FF2B5EF4-FFF2-40B4-BE49-F238E27FC236}">
              <a16:creationId xmlns:a16="http://schemas.microsoft.com/office/drawing/2014/main" id="{AD7B8668-3F50-F5A1-E29A-F43A79849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68492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228</xdr:row>
      <xdr:rowOff>39688</xdr:rowOff>
    </xdr:from>
    <xdr:to>
      <xdr:col>2</xdr:col>
      <xdr:colOff>312738</xdr:colOff>
      <xdr:row>228</xdr:row>
      <xdr:rowOff>293688</xdr:rowOff>
    </xdr:to>
    <xdr:pic>
      <xdr:nvPicPr>
        <xdr:cNvPr id="55975" name="Picture 55974">
          <a:extLst>
            <a:ext uri="{FF2B5EF4-FFF2-40B4-BE49-F238E27FC236}">
              <a16:creationId xmlns:a16="http://schemas.microsoft.com/office/drawing/2014/main" id="{2CF836DA-8C74-D18A-05C6-DFC4621465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71826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228</xdr:row>
      <xdr:rowOff>39688</xdr:rowOff>
    </xdr:from>
    <xdr:to>
      <xdr:col>6</xdr:col>
      <xdr:colOff>346075</xdr:colOff>
      <xdr:row>228</xdr:row>
      <xdr:rowOff>293688</xdr:rowOff>
    </xdr:to>
    <xdr:pic>
      <xdr:nvPicPr>
        <xdr:cNvPr id="55978" name="Picture 55977">
          <a:extLst>
            <a:ext uri="{FF2B5EF4-FFF2-40B4-BE49-F238E27FC236}">
              <a16:creationId xmlns:a16="http://schemas.microsoft.com/office/drawing/2014/main" id="{AB56D8F5-3285-9292-262A-5213800143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71826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229</xdr:row>
      <xdr:rowOff>39688</xdr:rowOff>
    </xdr:from>
    <xdr:to>
      <xdr:col>2</xdr:col>
      <xdr:colOff>312738</xdr:colOff>
      <xdr:row>229</xdr:row>
      <xdr:rowOff>293688</xdr:rowOff>
    </xdr:to>
    <xdr:pic>
      <xdr:nvPicPr>
        <xdr:cNvPr id="55981" name="Picture 55980">
          <a:extLst>
            <a:ext uri="{FF2B5EF4-FFF2-40B4-BE49-F238E27FC236}">
              <a16:creationId xmlns:a16="http://schemas.microsoft.com/office/drawing/2014/main" id="{C916D0A8-7C85-0CB7-A828-25D8159F1B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75160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229</xdr:row>
      <xdr:rowOff>39688</xdr:rowOff>
    </xdr:from>
    <xdr:to>
      <xdr:col>6</xdr:col>
      <xdr:colOff>346075</xdr:colOff>
      <xdr:row>229</xdr:row>
      <xdr:rowOff>293688</xdr:rowOff>
    </xdr:to>
    <xdr:pic>
      <xdr:nvPicPr>
        <xdr:cNvPr id="55984" name="Picture 55983">
          <a:extLst>
            <a:ext uri="{FF2B5EF4-FFF2-40B4-BE49-F238E27FC236}">
              <a16:creationId xmlns:a16="http://schemas.microsoft.com/office/drawing/2014/main" id="{94D7E8FE-CC9B-7A21-3870-9C4FB0BCFC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75160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230</xdr:row>
      <xdr:rowOff>39688</xdr:rowOff>
    </xdr:from>
    <xdr:to>
      <xdr:col>2</xdr:col>
      <xdr:colOff>312738</xdr:colOff>
      <xdr:row>230</xdr:row>
      <xdr:rowOff>293688</xdr:rowOff>
    </xdr:to>
    <xdr:pic>
      <xdr:nvPicPr>
        <xdr:cNvPr id="55987" name="Picture 55986">
          <a:extLst>
            <a:ext uri="{FF2B5EF4-FFF2-40B4-BE49-F238E27FC236}">
              <a16:creationId xmlns:a16="http://schemas.microsoft.com/office/drawing/2014/main" id="{8AA10460-0E3A-81F5-231B-10A026330E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78494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149225</xdr:colOff>
      <xdr:row>230</xdr:row>
      <xdr:rowOff>39688</xdr:rowOff>
    </xdr:from>
    <xdr:to>
      <xdr:col>6</xdr:col>
      <xdr:colOff>288925</xdr:colOff>
      <xdr:row>230</xdr:row>
      <xdr:rowOff>293688</xdr:rowOff>
    </xdr:to>
    <xdr:pic>
      <xdr:nvPicPr>
        <xdr:cNvPr id="55990" name="Picture 55989">
          <a:extLst>
            <a:ext uri="{FF2B5EF4-FFF2-40B4-BE49-F238E27FC236}">
              <a16:creationId xmlns:a16="http://schemas.microsoft.com/office/drawing/2014/main" id="{6D260170-07A3-DFFF-8A5B-2C42506EA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450" y="77849413"/>
          <a:ext cx="1397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231</xdr:row>
      <xdr:rowOff>39688</xdr:rowOff>
    </xdr:from>
    <xdr:to>
      <xdr:col>2</xdr:col>
      <xdr:colOff>312738</xdr:colOff>
      <xdr:row>231</xdr:row>
      <xdr:rowOff>293688</xdr:rowOff>
    </xdr:to>
    <xdr:pic>
      <xdr:nvPicPr>
        <xdr:cNvPr id="55993" name="Picture 55992">
          <a:extLst>
            <a:ext uri="{FF2B5EF4-FFF2-40B4-BE49-F238E27FC236}">
              <a16:creationId xmlns:a16="http://schemas.microsoft.com/office/drawing/2014/main" id="{1B41DBC1-729F-A725-011A-42E072C97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81827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231</xdr:row>
      <xdr:rowOff>39688</xdr:rowOff>
    </xdr:from>
    <xdr:to>
      <xdr:col>6</xdr:col>
      <xdr:colOff>346075</xdr:colOff>
      <xdr:row>231</xdr:row>
      <xdr:rowOff>293688</xdr:rowOff>
    </xdr:to>
    <xdr:pic>
      <xdr:nvPicPr>
        <xdr:cNvPr id="55996" name="Picture 55995">
          <a:extLst>
            <a:ext uri="{FF2B5EF4-FFF2-40B4-BE49-F238E27FC236}">
              <a16:creationId xmlns:a16="http://schemas.microsoft.com/office/drawing/2014/main" id="{D3460D6D-C3B4-99B5-24A4-739D0FA9CF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81827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235</xdr:row>
      <xdr:rowOff>39688</xdr:rowOff>
    </xdr:from>
    <xdr:to>
      <xdr:col>2</xdr:col>
      <xdr:colOff>312738</xdr:colOff>
      <xdr:row>235</xdr:row>
      <xdr:rowOff>293688</xdr:rowOff>
    </xdr:to>
    <xdr:pic>
      <xdr:nvPicPr>
        <xdr:cNvPr id="55999" name="Picture 55998">
          <a:extLst>
            <a:ext uri="{FF2B5EF4-FFF2-40B4-BE49-F238E27FC236}">
              <a16:creationId xmlns:a16="http://schemas.microsoft.com/office/drawing/2014/main" id="{42BECB75-A947-0977-3505-3F370F74F5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95829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235</xdr:row>
      <xdr:rowOff>39688</xdr:rowOff>
    </xdr:from>
    <xdr:to>
      <xdr:col>6</xdr:col>
      <xdr:colOff>346075</xdr:colOff>
      <xdr:row>235</xdr:row>
      <xdr:rowOff>293688</xdr:rowOff>
    </xdr:to>
    <xdr:pic>
      <xdr:nvPicPr>
        <xdr:cNvPr id="56002" name="Picture 56001">
          <a:extLst>
            <a:ext uri="{FF2B5EF4-FFF2-40B4-BE49-F238E27FC236}">
              <a16:creationId xmlns:a16="http://schemas.microsoft.com/office/drawing/2014/main" id="{E9E5956A-0A03-0F3E-C20A-A3A45E3064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95829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236</xdr:row>
      <xdr:rowOff>39688</xdr:rowOff>
    </xdr:from>
    <xdr:to>
      <xdr:col>2</xdr:col>
      <xdr:colOff>312738</xdr:colOff>
      <xdr:row>236</xdr:row>
      <xdr:rowOff>293688</xdr:rowOff>
    </xdr:to>
    <xdr:pic>
      <xdr:nvPicPr>
        <xdr:cNvPr id="56005" name="Picture 56004">
          <a:extLst>
            <a:ext uri="{FF2B5EF4-FFF2-40B4-BE49-F238E27FC236}">
              <a16:creationId xmlns:a16="http://schemas.microsoft.com/office/drawing/2014/main" id="{711951BE-3C15-522C-012D-5658D4A948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799163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236</xdr:row>
      <xdr:rowOff>39688</xdr:rowOff>
    </xdr:from>
    <xdr:to>
      <xdr:col>6</xdr:col>
      <xdr:colOff>346075</xdr:colOff>
      <xdr:row>236</xdr:row>
      <xdr:rowOff>293688</xdr:rowOff>
    </xdr:to>
    <xdr:pic>
      <xdr:nvPicPr>
        <xdr:cNvPr id="56008" name="Picture 56007">
          <a:extLst>
            <a:ext uri="{FF2B5EF4-FFF2-40B4-BE49-F238E27FC236}">
              <a16:creationId xmlns:a16="http://schemas.microsoft.com/office/drawing/2014/main" id="{7EFC2A1B-CDB8-5608-9DF7-B8D2178A38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799163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75495</xdr:colOff>
      <xdr:row>237</xdr:row>
      <xdr:rowOff>39688</xdr:rowOff>
    </xdr:from>
    <xdr:to>
      <xdr:col>2</xdr:col>
      <xdr:colOff>295981</xdr:colOff>
      <xdr:row>237</xdr:row>
      <xdr:rowOff>293688</xdr:rowOff>
    </xdr:to>
    <xdr:pic>
      <xdr:nvPicPr>
        <xdr:cNvPr id="56011" name="Picture 56010">
          <a:extLst>
            <a:ext uri="{FF2B5EF4-FFF2-40B4-BE49-F238E27FC236}">
              <a16:creationId xmlns:a16="http://schemas.microsoft.com/office/drawing/2014/main" id="{827C127F-5678-C4FD-33C7-517DAFF5D4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520" y="80249713"/>
          <a:ext cx="220486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237</xdr:row>
      <xdr:rowOff>39688</xdr:rowOff>
    </xdr:from>
    <xdr:to>
      <xdr:col>6</xdr:col>
      <xdr:colOff>346075</xdr:colOff>
      <xdr:row>237</xdr:row>
      <xdr:rowOff>293688</xdr:rowOff>
    </xdr:to>
    <xdr:pic>
      <xdr:nvPicPr>
        <xdr:cNvPr id="56014" name="Picture 56013">
          <a:extLst>
            <a:ext uri="{FF2B5EF4-FFF2-40B4-BE49-F238E27FC236}">
              <a16:creationId xmlns:a16="http://schemas.microsoft.com/office/drawing/2014/main" id="{C1F6108C-7BCC-A76A-2A02-1DC91C2ADB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02497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238</xdr:row>
      <xdr:rowOff>39688</xdr:rowOff>
    </xdr:from>
    <xdr:to>
      <xdr:col>2</xdr:col>
      <xdr:colOff>312738</xdr:colOff>
      <xdr:row>238</xdr:row>
      <xdr:rowOff>293688</xdr:rowOff>
    </xdr:to>
    <xdr:pic>
      <xdr:nvPicPr>
        <xdr:cNvPr id="56017" name="Picture 56016">
          <a:extLst>
            <a:ext uri="{FF2B5EF4-FFF2-40B4-BE49-F238E27FC236}">
              <a16:creationId xmlns:a16="http://schemas.microsoft.com/office/drawing/2014/main" id="{DD327632-9686-9970-CE47-6BA5281FB8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805830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238</xdr:row>
      <xdr:rowOff>39688</xdr:rowOff>
    </xdr:from>
    <xdr:to>
      <xdr:col>6</xdr:col>
      <xdr:colOff>346075</xdr:colOff>
      <xdr:row>238</xdr:row>
      <xdr:rowOff>293688</xdr:rowOff>
    </xdr:to>
    <xdr:pic>
      <xdr:nvPicPr>
        <xdr:cNvPr id="56020" name="Picture 56019">
          <a:extLst>
            <a:ext uri="{FF2B5EF4-FFF2-40B4-BE49-F238E27FC236}">
              <a16:creationId xmlns:a16="http://schemas.microsoft.com/office/drawing/2014/main" id="{30FEB22A-186F-AB22-88A4-A7C527BE33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05830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239</xdr:row>
      <xdr:rowOff>39688</xdr:rowOff>
    </xdr:from>
    <xdr:to>
      <xdr:col>2</xdr:col>
      <xdr:colOff>312738</xdr:colOff>
      <xdr:row>239</xdr:row>
      <xdr:rowOff>293688</xdr:rowOff>
    </xdr:to>
    <xdr:pic>
      <xdr:nvPicPr>
        <xdr:cNvPr id="56023" name="Picture 56022">
          <a:extLst>
            <a:ext uri="{FF2B5EF4-FFF2-40B4-BE49-F238E27FC236}">
              <a16:creationId xmlns:a16="http://schemas.microsoft.com/office/drawing/2014/main" id="{5DA2E8C9-011C-AD49-6735-EBA1D37869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809164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239</xdr:row>
      <xdr:rowOff>39688</xdr:rowOff>
    </xdr:from>
    <xdr:to>
      <xdr:col>6</xdr:col>
      <xdr:colOff>346075</xdr:colOff>
      <xdr:row>239</xdr:row>
      <xdr:rowOff>293688</xdr:rowOff>
    </xdr:to>
    <xdr:pic>
      <xdr:nvPicPr>
        <xdr:cNvPr id="56026" name="Picture 56025">
          <a:extLst>
            <a:ext uri="{FF2B5EF4-FFF2-40B4-BE49-F238E27FC236}">
              <a16:creationId xmlns:a16="http://schemas.microsoft.com/office/drawing/2014/main" id="{C8F9605A-8BB0-F9A5-E28E-14AC85A933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09164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115888</xdr:colOff>
      <xdr:row>240</xdr:row>
      <xdr:rowOff>39688</xdr:rowOff>
    </xdr:from>
    <xdr:to>
      <xdr:col>2</xdr:col>
      <xdr:colOff>255588</xdr:colOff>
      <xdr:row>240</xdr:row>
      <xdr:rowOff>293688</xdr:rowOff>
    </xdr:to>
    <xdr:pic>
      <xdr:nvPicPr>
        <xdr:cNvPr id="56029" name="Picture 56028">
          <a:extLst>
            <a:ext uri="{FF2B5EF4-FFF2-40B4-BE49-F238E27FC236}">
              <a16:creationId xmlns:a16="http://schemas.microsoft.com/office/drawing/2014/main" id="{5F604ED8-3EC6-492D-B200-2BCDEF3A03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3913" y="81249838"/>
          <a:ext cx="1397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240</xdr:row>
      <xdr:rowOff>39688</xdr:rowOff>
    </xdr:from>
    <xdr:to>
      <xdr:col>6</xdr:col>
      <xdr:colOff>346075</xdr:colOff>
      <xdr:row>240</xdr:row>
      <xdr:rowOff>293688</xdr:rowOff>
    </xdr:to>
    <xdr:pic>
      <xdr:nvPicPr>
        <xdr:cNvPr id="56032" name="Picture 56031">
          <a:extLst>
            <a:ext uri="{FF2B5EF4-FFF2-40B4-BE49-F238E27FC236}">
              <a16:creationId xmlns:a16="http://schemas.microsoft.com/office/drawing/2014/main" id="{465EF0BC-7E30-BD30-5857-55E8B2243C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12498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241</xdr:row>
      <xdr:rowOff>39688</xdr:rowOff>
    </xdr:from>
    <xdr:to>
      <xdr:col>2</xdr:col>
      <xdr:colOff>312738</xdr:colOff>
      <xdr:row>241</xdr:row>
      <xdr:rowOff>293688</xdr:rowOff>
    </xdr:to>
    <xdr:pic>
      <xdr:nvPicPr>
        <xdr:cNvPr id="56035" name="Picture 56034">
          <a:extLst>
            <a:ext uri="{FF2B5EF4-FFF2-40B4-BE49-F238E27FC236}">
              <a16:creationId xmlns:a16="http://schemas.microsoft.com/office/drawing/2014/main" id="{7EA6BAE2-9E8A-E173-6F39-7A0F12861B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815832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241</xdr:row>
      <xdr:rowOff>39688</xdr:rowOff>
    </xdr:from>
    <xdr:to>
      <xdr:col>6</xdr:col>
      <xdr:colOff>346075</xdr:colOff>
      <xdr:row>241</xdr:row>
      <xdr:rowOff>293688</xdr:rowOff>
    </xdr:to>
    <xdr:pic>
      <xdr:nvPicPr>
        <xdr:cNvPr id="56038" name="Picture 56037">
          <a:extLst>
            <a:ext uri="{FF2B5EF4-FFF2-40B4-BE49-F238E27FC236}">
              <a16:creationId xmlns:a16="http://schemas.microsoft.com/office/drawing/2014/main" id="{4DE3B535-B223-2F3E-8CAB-A221F8B42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15832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242</xdr:row>
      <xdr:rowOff>39688</xdr:rowOff>
    </xdr:from>
    <xdr:to>
      <xdr:col>2</xdr:col>
      <xdr:colOff>312738</xdr:colOff>
      <xdr:row>242</xdr:row>
      <xdr:rowOff>293688</xdr:rowOff>
    </xdr:to>
    <xdr:pic>
      <xdr:nvPicPr>
        <xdr:cNvPr id="56041" name="Picture 56040">
          <a:extLst>
            <a:ext uri="{FF2B5EF4-FFF2-40B4-BE49-F238E27FC236}">
              <a16:creationId xmlns:a16="http://schemas.microsoft.com/office/drawing/2014/main" id="{A1F9C2A9-2AA3-F46E-64A6-078E6314CD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819165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242</xdr:row>
      <xdr:rowOff>39688</xdr:rowOff>
    </xdr:from>
    <xdr:to>
      <xdr:col>6</xdr:col>
      <xdr:colOff>346075</xdr:colOff>
      <xdr:row>242</xdr:row>
      <xdr:rowOff>293688</xdr:rowOff>
    </xdr:to>
    <xdr:pic>
      <xdr:nvPicPr>
        <xdr:cNvPr id="56044" name="Picture 56043">
          <a:extLst>
            <a:ext uri="{FF2B5EF4-FFF2-40B4-BE49-F238E27FC236}">
              <a16:creationId xmlns:a16="http://schemas.microsoft.com/office/drawing/2014/main" id="{4E04DA1B-EDB3-F199-DAD0-E50E32300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19165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33572</xdr:colOff>
      <xdr:row>243</xdr:row>
      <xdr:rowOff>39688</xdr:rowOff>
    </xdr:from>
    <xdr:to>
      <xdr:col>2</xdr:col>
      <xdr:colOff>337904</xdr:colOff>
      <xdr:row>243</xdr:row>
      <xdr:rowOff>293688</xdr:rowOff>
    </xdr:to>
    <xdr:pic>
      <xdr:nvPicPr>
        <xdr:cNvPr id="56047" name="Picture 56046">
          <a:extLst>
            <a:ext uri="{FF2B5EF4-FFF2-40B4-BE49-F238E27FC236}">
              <a16:creationId xmlns:a16="http://schemas.microsoft.com/office/drawing/2014/main" id="{31193609-16CD-7912-AA9A-0439411306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597" y="82249963"/>
          <a:ext cx="304332" cy="254000"/>
        </a:xfrm>
        <a:prstGeom prst="rect">
          <a:avLst/>
        </a:prstGeom>
      </xdr:spPr>
    </xdr:pic>
    <xdr:clientData/>
  </xdr:twoCellAnchor>
  <xdr:twoCellAnchor>
    <xdr:from>
      <xdr:col>6</xdr:col>
      <xdr:colOff>115703</xdr:colOff>
      <xdr:row>243</xdr:row>
      <xdr:rowOff>39688</xdr:rowOff>
    </xdr:from>
    <xdr:to>
      <xdr:col>6</xdr:col>
      <xdr:colOff>322447</xdr:colOff>
      <xdr:row>243</xdr:row>
      <xdr:rowOff>293688</xdr:rowOff>
    </xdr:to>
    <xdr:pic>
      <xdr:nvPicPr>
        <xdr:cNvPr id="56050" name="Picture 56049">
          <a:extLst>
            <a:ext uri="{FF2B5EF4-FFF2-40B4-BE49-F238E27FC236}">
              <a16:creationId xmlns:a16="http://schemas.microsoft.com/office/drawing/2014/main" id="{11D6F898-C3C3-0DD1-7588-2C0166C22E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928" y="82249963"/>
          <a:ext cx="206744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244</xdr:row>
      <xdr:rowOff>39688</xdr:rowOff>
    </xdr:from>
    <xdr:to>
      <xdr:col>2</xdr:col>
      <xdr:colOff>312738</xdr:colOff>
      <xdr:row>244</xdr:row>
      <xdr:rowOff>293688</xdr:rowOff>
    </xdr:to>
    <xdr:pic>
      <xdr:nvPicPr>
        <xdr:cNvPr id="56053" name="Picture 56052">
          <a:extLst>
            <a:ext uri="{FF2B5EF4-FFF2-40B4-BE49-F238E27FC236}">
              <a16:creationId xmlns:a16="http://schemas.microsoft.com/office/drawing/2014/main" id="{7E24B341-A748-CAB1-BF9D-FEED035EA6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825833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244</xdr:row>
      <xdr:rowOff>39688</xdr:rowOff>
    </xdr:from>
    <xdr:to>
      <xdr:col>6</xdr:col>
      <xdr:colOff>346075</xdr:colOff>
      <xdr:row>244</xdr:row>
      <xdr:rowOff>293688</xdr:rowOff>
    </xdr:to>
    <xdr:pic>
      <xdr:nvPicPr>
        <xdr:cNvPr id="56056" name="Picture 56055">
          <a:extLst>
            <a:ext uri="{FF2B5EF4-FFF2-40B4-BE49-F238E27FC236}">
              <a16:creationId xmlns:a16="http://schemas.microsoft.com/office/drawing/2014/main" id="{D11A40FB-A98D-19DA-7C2B-300045B7B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25833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248</xdr:row>
      <xdr:rowOff>39688</xdr:rowOff>
    </xdr:from>
    <xdr:to>
      <xdr:col>2</xdr:col>
      <xdr:colOff>312738</xdr:colOff>
      <xdr:row>248</xdr:row>
      <xdr:rowOff>293688</xdr:rowOff>
    </xdr:to>
    <xdr:pic>
      <xdr:nvPicPr>
        <xdr:cNvPr id="56059" name="Picture 56058">
          <a:extLst>
            <a:ext uri="{FF2B5EF4-FFF2-40B4-BE49-F238E27FC236}">
              <a16:creationId xmlns:a16="http://schemas.microsoft.com/office/drawing/2014/main" id="{0A690116-0791-0054-9B7F-7253EBF74B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839835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248</xdr:row>
      <xdr:rowOff>39688</xdr:rowOff>
    </xdr:from>
    <xdr:to>
      <xdr:col>6</xdr:col>
      <xdr:colOff>346075</xdr:colOff>
      <xdr:row>248</xdr:row>
      <xdr:rowOff>293688</xdr:rowOff>
    </xdr:to>
    <xdr:pic>
      <xdr:nvPicPr>
        <xdr:cNvPr id="56062" name="Picture 56061">
          <a:extLst>
            <a:ext uri="{FF2B5EF4-FFF2-40B4-BE49-F238E27FC236}">
              <a16:creationId xmlns:a16="http://schemas.microsoft.com/office/drawing/2014/main" id="{DFCF72C3-A2F3-DE45-9022-12FC5E1E9D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39835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249</xdr:row>
      <xdr:rowOff>39688</xdr:rowOff>
    </xdr:from>
    <xdr:to>
      <xdr:col>2</xdr:col>
      <xdr:colOff>312738</xdr:colOff>
      <xdr:row>249</xdr:row>
      <xdr:rowOff>293688</xdr:rowOff>
    </xdr:to>
    <xdr:pic>
      <xdr:nvPicPr>
        <xdr:cNvPr id="53249" name="Picture 53248">
          <a:extLst>
            <a:ext uri="{FF2B5EF4-FFF2-40B4-BE49-F238E27FC236}">
              <a16:creationId xmlns:a16="http://schemas.microsoft.com/office/drawing/2014/main" id="{B8129DE9-2C69-4268-9E84-3E46B94D0E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843168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249</xdr:row>
      <xdr:rowOff>39688</xdr:rowOff>
    </xdr:from>
    <xdr:to>
      <xdr:col>6</xdr:col>
      <xdr:colOff>346075</xdr:colOff>
      <xdr:row>249</xdr:row>
      <xdr:rowOff>293688</xdr:rowOff>
    </xdr:to>
    <xdr:pic>
      <xdr:nvPicPr>
        <xdr:cNvPr id="53252" name="Picture 53251">
          <a:extLst>
            <a:ext uri="{FF2B5EF4-FFF2-40B4-BE49-F238E27FC236}">
              <a16:creationId xmlns:a16="http://schemas.microsoft.com/office/drawing/2014/main" id="{79B7AFD3-D215-895A-0FF5-9A3A2B99DD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43168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75495</xdr:colOff>
      <xdr:row>250</xdr:row>
      <xdr:rowOff>39688</xdr:rowOff>
    </xdr:from>
    <xdr:to>
      <xdr:col>2</xdr:col>
      <xdr:colOff>295981</xdr:colOff>
      <xdr:row>250</xdr:row>
      <xdr:rowOff>293688</xdr:rowOff>
    </xdr:to>
    <xdr:pic>
      <xdr:nvPicPr>
        <xdr:cNvPr id="53255" name="Picture 53254">
          <a:extLst>
            <a:ext uri="{FF2B5EF4-FFF2-40B4-BE49-F238E27FC236}">
              <a16:creationId xmlns:a16="http://schemas.microsoft.com/office/drawing/2014/main" id="{F6B5586D-5708-F608-E273-799EEC3207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520" y="84650263"/>
          <a:ext cx="220486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250</xdr:row>
      <xdr:rowOff>39688</xdr:rowOff>
    </xdr:from>
    <xdr:to>
      <xdr:col>6</xdr:col>
      <xdr:colOff>346075</xdr:colOff>
      <xdr:row>250</xdr:row>
      <xdr:rowOff>293688</xdr:rowOff>
    </xdr:to>
    <xdr:pic>
      <xdr:nvPicPr>
        <xdr:cNvPr id="53258" name="Picture 53257">
          <a:extLst>
            <a:ext uri="{FF2B5EF4-FFF2-40B4-BE49-F238E27FC236}">
              <a16:creationId xmlns:a16="http://schemas.microsoft.com/office/drawing/2014/main" id="{3C86C51B-7BDE-5EFE-1552-F685B5C41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46502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251</xdr:row>
      <xdr:rowOff>39688</xdr:rowOff>
    </xdr:from>
    <xdr:to>
      <xdr:col>2</xdr:col>
      <xdr:colOff>312738</xdr:colOff>
      <xdr:row>251</xdr:row>
      <xdr:rowOff>293688</xdr:rowOff>
    </xdr:to>
    <xdr:pic>
      <xdr:nvPicPr>
        <xdr:cNvPr id="53261" name="Picture 53260">
          <a:extLst>
            <a:ext uri="{FF2B5EF4-FFF2-40B4-BE49-F238E27FC236}">
              <a16:creationId xmlns:a16="http://schemas.microsoft.com/office/drawing/2014/main" id="{CCCE7906-94FA-F17F-45DE-AA436EA333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849836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251</xdr:row>
      <xdr:rowOff>39688</xdr:rowOff>
    </xdr:from>
    <xdr:to>
      <xdr:col>6</xdr:col>
      <xdr:colOff>346075</xdr:colOff>
      <xdr:row>251</xdr:row>
      <xdr:rowOff>293688</xdr:rowOff>
    </xdr:to>
    <xdr:pic>
      <xdr:nvPicPr>
        <xdr:cNvPr id="53264" name="Picture 53263">
          <a:extLst>
            <a:ext uri="{FF2B5EF4-FFF2-40B4-BE49-F238E27FC236}">
              <a16:creationId xmlns:a16="http://schemas.microsoft.com/office/drawing/2014/main" id="{0C872F25-D156-779E-D032-357084A82F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49836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252</xdr:row>
      <xdr:rowOff>39688</xdr:rowOff>
    </xdr:from>
    <xdr:to>
      <xdr:col>2</xdr:col>
      <xdr:colOff>312738</xdr:colOff>
      <xdr:row>252</xdr:row>
      <xdr:rowOff>293688</xdr:rowOff>
    </xdr:to>
    <xdr:pic>
      <xdr:nvPicPr>
        <xdr:cNvPr id="53267" name="Picture 53266">
          <a:extLst>
            <a:ext uri="{FF2B5EF4-FFF2-40B4-BE49-F238E27FC236}">
              <a16:creationId xmlns:a16="http://schemas.microsoft.com/office/drawing/2014/main" id="{5A911963-C072-7855-9C19-30163527C9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853170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252</xdr:row>
      <xdr:rowOff>39688</xdr:rowOff>
    </xdr:from>
    <xdr:to>
      <xdr:col>6</xdr:col>
      <xdr:colOff>346075</xdr:colOff>
      <xdr:row>252</xdr:row>
      <xdr:rowOff>293688</xdr:rowOff>
    </xdr:to>
    <xdr:pic>
      <xdr:nvPicPr>
        <xdr:cNvPr id="53270" name="Picture 53269">
          <a:extLst>
            <a:ext uri="{FF2B5EF4-FFF2-40B4-BE49-F238E27FC236}">
              <a16:creationId xmlns:a16="http://schemas.microsoft.com/office/drawing/2014/main" id="{A33E1469-8BA6-A39C-006D-B6CACF5917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53170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115888</xdr:colOff>
      <xdr:row>253</xdr:row>
      <xdr:rowOff>39688</xdr:rowOff>
    </xdr:from>
    <xdr:to>
      <xdr:col>2</xdr:col>
      <xdr:colOff>255588</xdr:colOff>
      <xdr:row>253</xdr:row>
      <xdr:rowOff>293688</xdr:rowOff>
    </xdr:to>
    <xdr:pic>
      <xdr:nvPicPr>
        <xdr:cNvPr id="53273" name="Picture 53272">
          <a:extLst>
            <a:ext uri="{FF2B5EF4-FFF2-40B4-BE49-F238E27FC236}">
              <a16:creationId xmlns:a16="http://schemas.microsoft.com/office/drawing/2014/main" id="{14D3DECA-8794-7DB6-47E6-4CEC7D217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3913" y="85650388"/>
          <a:ext cx="139700" cy="254000"/>
        </a:xfrm>
        <a:prstGeom prst="rect">
          <a:avLst/>
        </a:prstGeom>
      </xdr:spPr>
    </xdr:pic>
    <xdr:clientData/>
  </xdr:twoCellAnchor>
  <xdr:twoCellAnchor>
    <xdr:from>
      <xdr:col>6</xdr:col>
      <xdr:colOff>115703</xdr:colOff>
      <xdr:row>253</xdr:row>
      <xdr:rowOff>39688</xdr:rowOff>
    </xdr:from>
    <xdr:to>
      <xdr:col>6</xdr:col>
      <xdr:colOff>322447</xdr:colOff>
      <xdr:row>253</xdr:row>
      <xdr:rowOff>293688</xdr:rowOff>
    </xdr:to>
    <xdr:pic>
      <xdr:nvPicPr>
        <xdr:cNvPr id="53276" name="Picture 53275">
          <a:extLst>
            <a:ext uri="{FF2B5EF4-FFF2-40B4-BE49-F238E27FC236}">
              <a16:creationId xmlns:a16="http://schemas.microsoft.com/office/drawing/2014/main" id="{CED6BF62-B6B1-6D45-A963-B6C107D82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928" y="85650388"/>
          <a:ext cx="206744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254</xdr:row>
      <xdr:rowOff>39688</xdr:rowOff>
    </xdr:from>
    <xdr:to>
      <xdr:col>2</xdr:col>
      <xdr:colOff>312738</xdr:colOff>
      <xdr:row>254</xdr:row>
      <xdr:rowOff>293688</xdr:rowOff>
    </xdr:to>
    <xdr:pic>
      <xdr:nvPicPr>
        <xdr:cNvPr id="53279" name="Picture 53278">
          <a:extLst>
            <a:ext uri="{FF2B5EF4-FFF2-40B4-BE49-F238E27FC236}">
              <a16:creationId xmlns:a16="http://schemas.microsoft.com/office/drawing/2014/main" id="{79FD2CA1-752A-9F38-B2A2-605AC26A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859837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254</xdr:row>
      <xdr:rowOff>39688</xdr:rowOff>
    </xdr:from>
    <xdr:to>
      <xdr:col>6</xdr:col>
      <xdr:colOff>346075</xdr:colOff>
      <xdr:row>254</xdr:row>
      <xdr:rowOff>293688</xdr:rowOff>
    </xdr:to>
    <xdr:pic>
      <xdr:nvPicPr>
        <xdr:cNvPr id="53282" name="Picture 53281">
          <a:extLst>
            <a:ext uri="{FF2B5EF4-FFF2-40B4-BE49-F238E27FC236}">
              <a16:creationId xmlns:a16="http://schemas.microsoft.com/office/drawing/2014/main" id="{22BEC0AC-D233-389E-55FB-82A5541C60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59837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255</xdr:row>
      <xdr:rowOff>39688</xdr:rowOff>
    </xdr:from>
    <xdr:to>
      <xdr:col>2</xdr:col>
      <xdr:colOff>312738</xdr:colOff>
      <xdr:row>255</xdr:row>
      <xdr:rowOff>293688</xdr:rowOff>
    </xdr:to>
    <xdr:pic>
      <xdr:nvPicPr>
        <xdr:cNvPr id="53285" name="Picture 53284">
          <a:extLst>
            <a:ext uri="{FF2B5EF4-FFF2-40B4-BE49-F238E27FC236}">
              <a16:creationId xmlns:a16="http://schemas.microsoft.com/office/drawing/2014/main" id="{6FF82987-93EC-2BB5-8967-B5DDE3EC0F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863171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255</xdr:row>
      <xdr:rowOff>39688</xdr:rowOff>
    </xdr:from>
    <xdr:to>
      <xdr:col>6</xdr:col>
      <xdr:colOff>346075</xdr:colOff>
      <xdr:row>255</xdr:row>
      <xdr:rowOff>293688</xdr:rowOff>
    </xdr:to>
    <xdr:pic>
      <xdr:nvPicPr>
        <xdr:cNvPr id="53288" name="Picture 53287">
          <a:extLst>
            <a:ext uri="{FF2B5EF4-FFF2-40B4-BE49-F238E27FC236}">
              <a16:creationId xmlns:a16="http://schemas.microsoft.com/office/drawing/2014/main" id="{C4FB25AB-6DEC-AD4B-984B-B0C279F83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63171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33572</xdr:colOff>
      <xdr:row>256</xdr:row>
      <xdr:rowOff>39688</xdr:rowOff>
    </xdr:from>
    <xdr:to>
      <xdr:col>2</xdr:col>
      <xdr:colOff>337904</xdr:colOff>
      <xdr:row>256</xdr:row>
      <xdr:rowOff>293688</xdr:rowOff>
    </xdr:to>
    <xdr:pic>
      <xdr:nvPicPr>
        <xdr:cNvPr id="53291" name="Picture 53290">
          <a:extLst>
            <a:ext uri="{FF2B5EF4-FFF2-40B4-BE49-F238E27FC236}">
              <a16:creationId xmlns:a16="http://schemas.microsoft.com/office/drawing/2014/main" id="{E7540F99-3333-5718-5F43-133AC54547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597" y="86650513"/>
          <a:ext cx="304332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256</xdr:row>
      <xdr:rowOff>39688</xdr:rowOff>
    </xdr:from>
    <xdr:to>
      <xdr:col>6</xdr:col>
      <xdr:colOff>346075</xdr:colOff>
      <xdr:row>256</xdr:row>
      <xdr:rowOff>293688</xdr:rowOff>
    </xdr:to>
    <xdr:pic>
      <xdr:nvPicPr>
        <xdr:cNvPr id="53294" name="Picture 53293">
          <a:extLst>
            <a:ext uri="{FF2B5EF4-FFF2-40B4-BE49-F238E27FC236}">
              <a16:creationId xmlns:a16="http://schemas.microsoft.com/office/drawing/2014/main" id="{8114E47D-3795-AB24-F6D3-9FC7025504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66505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257</xdr:row>
      <xdr:rowOff>39688</xdr:rowOff>
    </xdr:from>
    <xdr:to>
      <xdr:col>2</xdr:col>
      <xdr:colOff>312738</xdr:colOff>
      <xdr:row>257</xdr:row>
      <xdr:rowOff>293688</xdr:rowOff>
    </xdr:to>
    <xdr:pic>
      <xdr:nvPicPr>
        <xdr:cNvPr id="53297" name="Picture 53296">
          <a:extLst>
            <a:ext uri="{FF2B5EF4-FFF2-40B4-BE49-F238E27FC236}">
              <a16:creationId xmlns:a16="http://schemas.microsoft.com/office/drawing/2014/main" id="{FD286BDA-46A3-2DF0-F084-1E02BE58A7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869838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257</xdr:row>
      <xdr:rowOff>39688</xdr:rowOff>
    </xdr:from>
    <xdr:to>
      <xdr:col>6</xdr:col>
      <xdr:colOff>346075</xdr:colOff>
      <xdr:row>257</xdr:row>
      <xdr:rowOff>293688</xdr:rowOff>
    </xdr:to>
    <xdr:pic>
      <xdr:nvPicPr>
        <xdr:cNvPr id="53300" name="Picture 53299">
          <a:extLst>
            <a:ext uri="{FF2B5EF4-FFF2-40B4-BE49-F238E27FC236}">
              <a16:creationId xmlns:a16="http://schemas.microsoft.com/office/drawing/2014/main" id="{2B289EA8-602D-59BD-6173-96DB650E58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69838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261</xdr:row>
      <xdr:rowOff>39688</xdr:rowOff>
    </xdr:from>
    <xdr:to>
      <xdr:col>2</xdr:col>
      <xdr:colOff>312738</xdr:colOff>
      <xdr:row>261</xdr:row>
      <xdr:rowOff>293688</xdr:rowOff>
    </xdr:to>
    <xdr:pic>
      <xdr:nvPicPr>
        <xdr:cNvPr id="53303" name="Picture 53302">
          <a:extLst>
            <a:ext uri="{FF2B5EF4-FFF2-40B4-BE49-F238E27FC236}">
              <a16:creationId xmlns:a16="http://schemas.microsoft.com/office/drawing/2014/main" id="{9BA78BE9-44AF-1900-EB4D-E4678720F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883840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261</xdr:row>
      <xdr:rowOff>39688</xdr:rowOff>
    </xdr:from>
    <xdr:to>
      <xdr:col>6</xdr:col>
      <xdr:colOff>346075</xdr:colOff>
      <xdr:row>261</xdr:row>
      <xdr:rowOff>293688</xdr:rowOff>
    </xdr:to>
    <xdr:pic>
      <xdr:nvPicPr>
        <xdr:cNvPr id="53306" name="Picture 53305">
          <a:extLst>
            <a:ext uri="{FF2B5EF4-FFF2-40B4-BE49-F238E27FC236}">
              <a16:creationId xmlns:a16="http://schemas.microsoft.com/office/drawing/2014/main" id="{2B5F34B3-F0D1-56DF-B7FC-2EEA6AD0C4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83840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262</xdr:row>
      <xdr:rowOff>39688</xdr:rowOff>
    </xdr:from>
    <xdr:to>
      <xdr:col>2</xdr:col>
      <xdr:colOff>312738</xdr:colOff>
      <xdr:row>262</xdr:row>
      <xdr:rowOff>293688</xdr:rowOff>
    </xdr:to>
    <xdr:pic>
      <xdr:nvPicPr>
        <xdr:cNvPr id="53309" name="Picture 53308">
          <a:extLst>
            <a:ext uri="{FF2B5EF4-FFF2-40B4-BE49-F238E27FC236}">
              <a16:creationId xmlns:a16="http://schemas.microsoft.com/office/drawing/2014/main" id="{47C2868D-1723-CE21-B928-FC1A40467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887174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262</xdr:row>
      <xdr:rowOff>39688</xdr:rowOff>
    </xdr:from>
    <xdr:to>
      <xdr:col>6</xdr:col>
      <xdr:colOff>346075</xdr:colOff>
      <xdr:row>262</xdr:row>
      <xdr:rowOff>293688</xdr:rowOff>
    </xdr:to>
    <xdr:pic>
      <xdr:nvPicPr>
        <xdr:cNvPr id="56064" name="Picture 56063">
          <a:extLst>
            <a:ext uri="{FF2B5EF4-FFF2-40B4-BE49-F238E27FC236}">
              <a16:creationId xmlns:a16="http://schemas.microsoft.com/office/drawing/2014/main" id="{42D8B568-AC6B-F1A1-1D37-6A37DD8399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87174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263</xdr:row>
      <xdr:rowOff>39688</xdr:rowOff>
    </xdr:from>
    <xdr:to>
      <xdr:col>2</xdr:col>
      <xdr:colOff>312738</xdr:colOff>
      <xdr:row>263</xdr:row>
      <xdr:rowOff>293688</xdr:rowOff>
    </xdr:to>
    <xdr:pic>
      <xdr:nvPicPr>
        <xdr:cNvPr id="56067" name="Picture 56066">
          <a:extLst>
            <a:ext uri="{FF2B5EF4-FFF2-40B4-BE49-F238E27FC236}">
              <a16:creationId xmlns:a16="http://schemas.microsoft.com/office/drawing/2014/main" id="{5D18DABE-F3EE-25A7-C503-7266934501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890508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108832</xdr:colOff>
      <xdr:row>263</xdr:row>
      <xdr:rowOff>39688</xdr:rowOff>
    </xdr:from>
    <xdr:to>
      <xdr:col>6</xdr:col>
      <xdr:colOff>329318</xdr:colOff>
      <xdr:row>263</xdr:row>
      <xdr:rowOff>293688</xdr:rowOff>
    </xdr:to>
    <xdr:pic>
      <xdr:nvPicPr>
        <xdr:cNvPr id="56070" name="Picture 56069">
          <a:extLst>
            <a:ext uri="{FF2B5EF4-FFF2-40B4-BE49-F238E27FC236}">
              <a16:creationId xmlns:a16="http://schemas.microsoft.com/office/drawing/2014/main" id="{728A3584-AA44-494C-9583-10BCA06A3D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6057" y="89050813"/>
          <a:ext cx="220486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264</xdr:row>
      <xdr:rowOff>39688</xdr:rowOff>
    </xdr:from>
    <xdr:to>
      <xdr:col>2</xdr:col>
      <xdr:colOff>312738</xdr:colOff>
      <xdr:row>264</xdr:row>
      <xdr:rowOff>293688</xdr:rowOff>
    </xdr:to>
    <xdr:pic>
      <xdr:nvPicPr>
        <xdr:cNvPr id="56073" name="Picture 56072">
          <a:extLst>
            <a:ext uri="{FF2B5EF4-FFF2-40B4-BE49-F238E27FC236}">
              <a16:creationId xmlns:a16="http://schemas.microsoft.com/office/drawing/2014/main" id="{D1044B19-9A5F-83E7-9787-82C867486D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893841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264</xdr:row>
      <xdr:rowOff>39688</xdr:rowOff>
    </xdr:from>
    <xdr:to>
      <xdr:col>6</xdr:col>
      <xdr:colOff>346075</xdr:colOff>
      <xdr:row>264</xdr:row>
      <xdr:rowOff>293688</xdr:rowOff>
    </xdr:to>
    <xdr:pic>
      <xdr:nvPicPr>
        <xdr:cNvPr id="56076" name="Picture 56075">
          <a:extLst>
            <a:ext uri="{FF2B5EF4-FFF2-40B4-BE49-F238E27FC236}">
              <a16:creationId xmlns:a16="http://schemas.microsoft.com/office/drawing/2014/main" id="{A6F36E9B-F2E1-33D6-7E5D-330E46C12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893841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265</xdr:row>
      <xdr:rowOff>39688</xdr:rowOff>
    </xdr:from>
    <xdr:to>
      <xdr:col>2</xdr:col>
      <xdr:colOff>312738</xdr:colOff>
      <xdr:row>265</xdr:row>
      <xdr:rowOff>293688</xdr:rowOff>
    </xdr:to>
    <xdr:pic>
      <xdr:nvPicPr>
        <xdr:cNvPr id="56079" name="Picture 56078">
          <a:extLst>
            <a:ext uri="{FF2B5EF4-FFF2-40B4-BE49-F238E27FC236}">
              <a16:creationId xmlns:a16="http://schemas.microsoft.com/office/drawing/2014/main" id="{2A48DBD7-39C6-1EA9-0833-05BB537A2B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897175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149225</xdr:colOff>
      <xdr:row>265</xdr:row>
      <xdr:rowOff>39688</xdr:rowOff>
    </xdr:from>
    <xdr:to>
      <xdr:col>6</xdr:col>
      <xdr:colOff>288925</xdr:colOff>
      <xdr:row>265</xdr:row>
      <xdr:rowOff>293688</xdr:rowOff>
    </xdr:to>
    <xdr:pic>
      <xdr:nvPicPr>
        <xdr:cNvPr id="56082" name="Picture 56081">
          <a:extLst>
            <a:ext uri="{FF2B5EF4-FFF2-40B4-BE49-F238E27FC236}">
              <a16:creationId xmlns:a16="http://schemas.microsoft.com/office/drawing/2014/main" id="{A74450F4-9516-BD3F-2C9C-9348846EC9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450" y="89717563"/>
          <a:ext cx="139700" cy="254000"/>
        </a:xfrm>
        <a:prstGeom prst="rect">
          <a:avLst/>
        </a:prstGeom>
      </xdr:spPr>
    </xdr:pic>
    <xdr:clientData/>
  </xdr:twoCellAnchor>
  <xdr:twoCellAnchor>
    <xdr:from>
      <xdr:col>2</xdr:col>
      <xdr:colOff>82366</xdr:colOff>
      <xdr:row>266</xdr:row>
      <xdr:rowOff>39688</xdr:rowOff>
    </xdr:from>
    <xdr:to>
      <xdr:col>2</xdr:col>
      <xdr:colOff>289110</xdr:colOff>
      <xdr:row>266</xdr:row>
      <xdr:rowOff>293688</xdr:rowOff>
    </xdr:to>
    <xdr:pic>
      <xdr:nvPicPr>
        <xdr:cNvPr id="56085" name="Picture 56084">
          <a:extLst>
            <a:ext uri="{FF2B5EF4-FFF2-40B4-BE49-F238E27FC236}">
              <a16:creationId xmlns:a16="http://schemas.microsoft.com/office/drawing/2014/main" id="{3F676CE5-F551-0E9C-1C0C-23A018C43B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391" y="90050938"/>
          <a:ext cx="206744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266</xdr:row>
      <xdr:rowOff>39688</xdr:rowOff>
    </xdr:from>
    <xdr:to>
      <xdr:col>6</xdr:col>
      <xdr:colOff>346075</xdr:colOff>
      <xdr:row>266</xdr:row>
      <xdr:rowOff>293688</xdr:rowOff>
    </xdr:to>
    <xdr:pic>
      <xdr:nvPicPr>
        <xdr:cNvPr id="56088" name="Picture 56087">
          <a:extLst>
            <a:ext uri="{FF2B5EF4-FFF2-40B4-BE49-F238E27FC236}">
              <a16:creationId xmlns:a16="http://schemas.microsoft.com/office/drawing/2014/main" id="{F411631D-14AE-BC3E-D95E-82840FAA6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00509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267</xdr:row>
      <xdr:rowOff>39688</xdr:rowOff>
    </xdr:from>
    <xdr:to>
      <xdr:col>2</xdr:col>
      <xdr:colOff>312738</xdr:colOff>
      <xdr:row>267</xdr:row>
      <xdr:rowOff>293688</xdr:rowOff>
    </xdr:to>
    <xdr:pic>
      <xdr:nvPicPr>
        <xdr:cNvPr id="56091" name="Picture 56090">
          <a:extLst>
            <a:ext uri="{FF2B5EF4-FFF2-40B4-BE49-F238E27FC236}">
              <a16:creationId xmlns:a16="http://schemas.microsoft.com/office/drawing/2014/main" id="{E2D7CA1B-4970-451B-6B03-AB7FED81EE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03843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267</xdr:row>
      <xdr:rowOff>39688</xdr:rowOff>
    </xdr:from>
    <xdr:to>
      <xdr:col>6</xdr:col>
      <xdr:colOff>346075</xdr:colOff>
      <xdr:row>267</xdr:row>
      <xdr:rowOff>293688</xdr:rowOff>
    </xdr:to>
    <xdr:pic>
      <xdr:nvPicPr>
        <xdr:cNvPr id="56094" name="Picture 56093">
          <a:extLst>
            <a:ext uri="{FF2B5EF4-FFF2-40B4-BE49-F238E27FC236}">
              <a16:creationId xmlns:a16="http://schemas.microsoft.com/office/drawing/2014/main" id="{7A99B68E-9AAC-F4B3-8336-ADB4F54936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03843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268</xdr:row>
      <xdr:rowOff>39688</xdr:rowOff>
    </xdr:from>
    <xdr:to>
      <xdr:col>2</xdr:col>
      <xdr:colOff>312738</xdr:colOff>
      <xdr:row>268</xdr:row>
      <xdr:rowOff>293688</xdr:rowOff>
    </xdr:to>
    <xdr:pic>
      <xdr:nvPicPr>
        <xdr:cNvPr id="56097" name="Picture 56096">
          <a:extLst>
            <a:ext uri="{FF2B5EF4-FFF2-40B4-BE49-F238E27FC236}">
              <a16:creationId xmlns:a16="http://schemas.microsoft.com/office/drawing/2014/main" id="{CFE39EE6-ADA6-1818-B34C-548367B664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07176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268</xdr:row>
      <xdr:rowOff>39688</xdr:rowOff>
    </xdr:from>
    <xdr:to>
      <xdr:col>6</xdr:col>
      <xdr:colOff>346075</xdr:colOff>
      <xdr:row>268</xdr:row>
      <xdr:rowOff>293688</xdr:rowOff>
    </xdr:to>
    <xdr:pic>
      <xdr:nvPicPr>
        <xdr:cNvPr id="56100" name="Picture 56099">
          <a:extLst>
            <a:ext uri="{FF2B5EF4-FFF2-40B4-BE49-F238E27FC236}">
              <a16:creationId xmlns:a16="http://schemas.microsoft.com/office/drawing/2014/main" id="{E9859382-8231-5205-44E7-F63935F98C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07176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269</xdr:row>
      <xdr:rowOff>39688</xdr:rowOff>
    </xdr:from>
    <xdr:to>
      <xdr:col>2</xdr:col>
      <xdr:colOff>312738</xdr:colOff>
      <xdr:row>269</xdr:row>
      <xdr:rowOff>293688</xdr:rowOff>
    </xdr:to>
    <xdr:pic>
      <xdr:nvPicPr>
        <xdr:cNvPr id="56103" name="Picture 56102">
          <a:extLst>
            <a:ext uri="{FF2B5EF4-FFF2-40B4-BE49-F238E27FC236}">
              <a16:creationId xmlns:a16="http://schemas.microsoft.com/office/drawing/2014/main" id="{D8360FFD-5C42-0CAA-8D34-3B0A8F973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10510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66909</xdr:colOff>
      <xdr:row>269</xdr:row>
      <xdr:rowOff>39688</xdr:rowOff>
    </xdr:from>
    <xdr:to>
      <xdr:col>6</xdr:col>
      <xdr:colOff>371241</xdr:colOff>
      <xdr:row>269</xdr:row>
      <xdr:rowOff>293688</xdr:rowOff>
    </xdr:to>
    <xdr:pic>
      <xdr:nvPicPr>
        <xdr:cNvPr id="56106" name="Picture 56105">
          <a:extLst>
            <a:ext uri="{FF2B5EF4-FFF2-40B4-BE49-F238E27FC236}">
              <a16:creationId xmlns:a16="http://schemas.microsoft.com/office/drawing/2014/main" id="{D0919B1F-6BEF-60CB-5027-9D5E7B9CD6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4134" y="91051063"/>
          <a:ext cx="304332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270</xdr:row>
      <xdr:rowOff>39688</xdr:rowOff>
    </xdr:from>
    <xdr:to>
      <xdr:col>2</xdr:col>
      <xdr:colOff>312738</xdr:colOff>
      <xdr:row>270</xdr:row>
      <xdr:rowOff>293688</xdr:rowOff>
    </xdr:to>
    <xdr:pic>
      <xdr:nvPicPr>
        <xdr:cNvPr id="56109" name="Picture 56108">
          <a:extLst>
            <a:ext uri="{FF2B5EF4-FFF2-40B4-BE49-F238E27FC236}">
              <a16:creationId xmlns:a16="http://schemas.microsoft.com/office/drawing/2014/main" id="{66276C3A-44D5-E0BC-8CED-60AD63D89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13844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270</xdr:row>
      <xdr:rowOff>39688</xdr:rowOff>
    </xdr:from>
    <xdr:to>
      <xdr:col>6</xdr:col>
      <xdr:colOff>346075</xdr:colOff>
      <xdr:row>270</xdr:row>
      <xdr:rowOff>293688</xdr:rowOff>
    </xdr:to>
    <xdr:pic>
      <xdr:nvPicPr>
        <xdr:cNvPr id="56112" name="Picture 56111">
          <a:extLst>
            <a:ext uri="{FF2B5EF4-FFF2-40B4-BE49-F238E27FC236}">
              <a16:creationId xmlns:a16="http://schemas.microsoft.com/office/drawing/2014/main" id="{6C76DCF9-FE2F-0156-6976-A52A29FB9C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13844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274</xdr:row>
      <xdr:rowOff>39688</xdr:rowOff>
    </xdr:from>
    <xdr:to>
      <xdr:col>2</xdr:col>
      <xdr:colOff>312738</xdr:colOff>
      <xdr:row>274</xdr:row>
      <xdr:rowOff>293688</xdr:rowOff>
    </xdr:to>
    <xdr:pic>
      <xdr:nvPicPr>
        <xdr:cNvPr id="56115" name="Picture 56114">
          <a:extLst>
            <a:ext uri="{FF2B5EF4-FFF2-40B4-BE49-F238E27FC236}">
              <a16:creationId xmlns:a16="http://schemas.microsoft.com/office/drawing/2014/main" id="{59B03DC7-63A4-DBC7-BBB7-07C43D8CAC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27846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149225</xdr:colOff>
      <xdr:row>274</xdr:row>
      <xdr:rowOff>39688</xdr:rowOff>
    </xdr:from>
    <xdr:to>
      <xdr:col>6</xdr:col>
      <xdr:colOff>288925</xdr:colOff>
      <xdr:row>274</xdr:row>
      <xdr:rowOff>293688</xdr:rowOff>
    </xdr:to>
    <xdr:pic>
      <xdr:nvPicPr>
        <xdr:cNvPr id="56118" name="Picture 56117">
          <a:extLst>
            <a:ext uri="{FF2B5EF4-FFF2-40B4-BE49-F238E27FC236}">
              <a16:creationId xmlns:a16="http://schemas.microsoft.com/office/drawing/2014/main" id="{B84E43ED-5754-6B2A-251D-4FE4C879D2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450" y="92784613"/>
          <a:ext cx="1397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275</xdr:row>
      <xdr:rowOff>39688</xdr:rowOff>
    </xdr:from>
    <xdr:to>
      <xdr:col>2</xdr:col>
      <xdr:colOff>312738</xdr:colOff>
      <xdr:row>275</xdr:row>
      <xdr:rowOff>293688</xdr:rowOff>
    </xdr:to>
    <xdr:pic>
      <xdr:nvPicPr>
        <xdr:cNvPr id="56121" name="Picture 56120">
          <a:extLst>
            <a:ext uri="{FF2B5EF4-FFF2-40B4-BE49-F238E27FC236}">
              <a16:creationId xmlns:a16="http://schemas.microsoft.com/office/drawing/2014/main" id="{1B7CCB45-0D28-C324-3A16-E4F0131516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31179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275</xdr:row>
      <xdr:rowOff>39688</xdr:rowOff>
    </xdr:from>
    <xdr:to>
      <xdr:col>6</xdr:col>
      <xdr:colOff>346075</xdr:colOff>
      <xdr:row>275</xdr:row>
      <xdr:rowOff>293688</xdr:rowOff>
    </xdr:to>
    <xdr:pic>
      <xdr:nvPicPr>
        <xdr:cNvPr id="56124" name="Picture 56123">
          <a:extLst>
            <a:ext uri="{FF2B5EF4-FFF2-40B4-BE49-F238E27FC236}">
              <a16:creationId xmlns:a16="http://schemas.microsoft.com/office/drawing/2014/main" id="{CAF8AE36-D853-1D34-DB78-BA946A5B0D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31179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276</xdr:row>
      <xdr:rowOff>39688</xdr:rowOff>
    </xdr:from>
    <xdr:to>
      <xdr:col>2</xdr:col>
      <xdr:colOff>312738</xdr:colOff>
      <xdr:row>276</xdr:row>
      <xdr:rowOff>293688</xdr:rowOff>
    </xdr:to>
    <xdr:pic>
      <xdr:nvPicPr>
        <xdr:cNvPr id="56127" name="Picture 56126">
          <a:extLst>
            <a:ext uri="{FF2B5EF4-FFF2-40B4-BE49-F238E27FC236}">
              <a16:creationId xmlns:a16="http://schemas.microsoft.com/office/drawing/2014/main" id="{3CC42BC6-F780-08CC-5B21-D52C9FE88A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34513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66909</xdr:colOff>
      <xdr:row>276</xdr:row>
      <xdr:rowOff>39688</xdr:rowOff>
    </xdr:from>
    <xdr:to>
      <xdr:col>6</xdr:col>
      <xdr:colOff>371241</xdr:colOff>
      <xdr:row>276</xdr:row>
      <xdr:rowOff>293688</xdr:rowOff>
    </xdr:to>
    <xdr:pic>
      <xdr:nvPicPr>
        <xdr:cNvPr id="53954" name="Picture 53953">
          <a:extLst>
            <a:ext uri="{FF2B5EF4-FFF2-40B4-BE49-F238E27FC236}">
              <a16:creationId xmlns:a16="http://schemas.microsoft.com/office/drawing/2014/main" id="{9076654F-B4C6-B52D-4A12-F14BC35F1E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4134" y="93451363"/>
          <a:ext cx="304332" cy="254000"/>
        </a:xfrm>
        <a:prstGeom prst="rect">
          <a:avLst/>
        </a:prstGeom>
      </xdr:spPr>
    </xdr:pic>
    <xdr:clientData/>
  </xdr:twoCellAnchor>
  <xdr:twoCellAnchor>
    <xdr:from>
      <xdr:col>2</xdr:col>
      <xdr:colOff>75495</xdr:colOff>
      <xdr:row>277</xdr:row>
      <xdr:rowOff>39688</xdr:rowOff>
    </xdr:from>
    <xdr:to>
      <xdr:col>2</xdr:col>
      <xdr:colOff>295981</xdr:colOff>
      <xdr:row>277</xdr:row>
      <xdr:rowOff>293688</xdr:rowOff>
    </xdr:to>
    <xdr:pic>
      <xdr:nvPicPr>
        <xdr:cNvPr id="53957" name="Picture 53956">
          <a:extLst>
            <a:ext uri="{FF2B5EF4-FFF2-40B4-BE49-F238E27FC236}">
              <a16:creationId xmlns:a16="http://schemas.microsoft.com/office/drawing/2014/main" id="{21B7179A-7F6C-EF25-3B6A-2287297872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520" y="93784738"/>
          <a:ext cx="220486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277</xdr:row>
      <xdr:rowOff>39688</xdr:rowOff>
    </xdr:from>
    <xdr:to>
      <xdr:col>6</xdr:col>
      <xdr:colOff>346075</xdr:colOff>
      <xdr:row>277</xdr:row>
      <xdr:rowOff>293688</xdr:rowOff>
    </xdr:to>
    <xdr:pic>
      <xdr:nvPicPr>
        <xdr:cNvPr id="53960" name="Picture 53959">
          <a:extLst>
            <a:ext uri="{FF2B5EF4-FFF2-40B4-BE49-F238E27FC236}">
              <a16:creationId xmlns:a16="http://schemas.microsoft.com/office/drawing/2014/main" id="{ADBD0C7E-B62B-2A9F-9447-2A64FFC0F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37847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278</xdr:row>
      <xdr:rowOff>39688</xdr:rowOff>
    </xdr:from>
    <xdr:to>
      <xdr:col>2</xdr:col>
      <xdr:colOff>312738</xdr:colOff>
      <xdr:row>278</xdr:row>
      <xdr:rowOff>293688</xdr:rowOff>
    </xdr:to>
    <xdr:pic>
      <xdr:nvPicPr>
        <xdr:cNvPr id="53963" name="Picture 53962">
          <a:extLst>
            <a:ext uri="{FF2B5EF4-FFF2-40B4-BE49-F238E27FC236}">
              <a16:creationId xmlns:a16="http://schemas.microsoft.com/office/drawing/2014/main" id="{6C58C7CB-5C17-A43F-A12A-8797F99C8A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41181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278</xdr:row>
      <xdr:rowOff>39688</xdr:rowOff>
    </xdr:from>
    <xdr:to>
      <xdr:col>6</xdr:col>
      <xdr:colOff>346075</xdr:colOff>
      <xdr:row>278</xdr:row>
      <xdr:rowOff>293688</xdr:rowOff>
    </xdr:to>
    <xdr:pic>
      <xdr:nvPicPr>
        <xdr:cNvPr id="53966" name="Picture 53965">
          <a:extLst>
            <a:ext uri="{FF2B5EF4-FFF2-40B4-BE49-F238E27FC236}">
              <a16:creationId xmlns:a16="http://schemas.microsoft.com/office/drawing/2014/main" id="{6455820D-BA5C-96B3-64FC-EFC477B9B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41181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279</xdr:row>
      <xdr:rowOff>39688</xdr:rowOff>
    </xdr:from>
    <xdr:to>
      <xdr:col>2</xdr:col>
      <xdr:colOff>312738</xdr:colOff>
      <xdr:row>279</xdr:row>
      <xdr:rowOff>293688</xdr:rowOff>
    </xdr:to>
    <xdr:pic>
      <xdr:nvPicPr>
        <xdr:cNvPr id="53969" name="Picture 53968">
          <a:extLst>
            <a:ext uri="{FF2B5EF4-FFF2-40B4-BE49-F238E27FC236}">
              <a16:creationId xmlns:a16="http://schemas.microsoft.com/office/drawing/2014/main" id="{71660D01-B4CD-C73C-0A07-336D2CCF18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44514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279</xdr:row>
      <xdr:rowOff>39688</xdr:rowOff>
    </xdr:from>
    <xdr:to>
      <xdr:col>6</xdr:col>
      <xdr:colOff>346075</xdr:colOff>
      <xdr:row>279</xdr:row>
      <xdr:rowOff>293688</xdr:rowOff>
    </xdr:to>
    <xdr:pic>
      <xdr:nvPicPr>
        <xdr:cNvPr id="53972" name="Picture 53971">
          <a:extLst>
            <a:ext uri="{FF2B5EF4-FFF2-40B4-BE49-F238E27FC236}">
              <a16:creationId xmlns:a16="http://schemas.microsoft.com/office/drawing/2014/main" id="{574B652C-A320-2401-8EB1-C3028E8743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44514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280</xdr:row>
      <xdr:rowOff>39688</xdr:rowOff>
    </xdr:from>
    <xdr:to>
      <xdr:col>2</xdr:col>
      <xdr:colOff>312738</xdr:colOff>
      <xdr:row>280</xdr:row>
      <xdr:rowOff>293688</xdr:rowOff>
    </xdr:to>
    <xdr:pic>
      <xdr:nvPicPr>
        <xdr:cNvPr id="53975" name="Picture 53974">
          <a:extLst>
            <a:ext uri="{FF2B5EF4-FFF2-40B4-BE49-F238E27FC236}">
              <a16:creationId xmlns:a16="http://schemas.microsoft.com/office/drawing/2014/main" id="{1A0E9F9F-7568-C59F-92FB-95B8D7ABD2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47848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280</xdr:row>
      <xdr:rowOff>39688</xdr:rowOff>
    </xdr:from>
    <xdr:to>
      <xdr:col>6</xdr:col>
      <xdr:colOff>346075</xdr:colOff>
      <xdr:row>280</xdr:row>
      <xdr:rowOff>293688</xdr:rowOff>
    </xdr:to>
    <xdr:pic>
      <xdr:nvPicPr>
        <xdr:cNvPr id="53978" name="Picture 53977">
          <a:extLst>
            <a:ext uri="{FF2B5EF4-FFF2-40B4-BE49-F238E27FC236}">
              <a16:creationId xmlns:a16="http://schemas.microsoft.com/office/drawing/2014/main" id="{D38CAAD7-4C96-B548-7F7D-7205FA7B27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47848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281</xdr:row>
      <xdr:rowOff>39688</xdr:rowOff>
    </xdr:from>
    <xdr:to>
      <xdr:col>2</xdr:col>
      <xdr:colOff>312738</xdr:colOff>
      <xdr:row>281</xdr:row>
      <xdr:rowOff>293688</xdr:rowOff>
    </xdr:to>
    <xdr:pic>
      <xdr:nvPicPr>
        <xdr:cNvPr id="53981" name="Picture 53980">
          <a:extLst>
            <a:ext uri="{FF2B5EF4-FFF2-40B4-BE49-F238E27FC236}">
              <a16:creationId xmlns:a16="http://schemas.microsoft.com/office/drawing/2014/main" id="{19B20130-A356-B756-5711-268C8B69EF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51182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281</xdr:row>
      <xdr:rowOff>39688</xdr:rowOff>
    </xdr:from>
    <xdr:to>
      <xdr:col>6</xdr:col>
      <xdr:colOff>346075</xdr:colOff>
      <xdr:row>281</xdr:row>
      <xdr:rowOff>293688</xdr:rowOff>
    </xdr:to>
    <xdr:pic>
      <xdr:nvPicPr>
        <xdr:cNvPr id="53984" name="Picture 53983">
          <a:extLst>
            <a:ext uri="{FF2B5EF4-FFF2-40B4-BE49-F238E27FC236}">
              <a16:creationId xmlns:a16="http://schemas.microsoft.com/office/drawing/2014/main" id="{B94B7CA6-FDFF-34C7-6500-EFD3BFD2E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51182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282</xdr:row>
      <xdr:rowOff>39688</xdr:rowOff>
    </xdr:from>
    <xdr:to>
      <xdr:col>2</xdr:col>
      <xdr:colOff>312738</xdr:colOff>
      <xdr:row>282</xdr:row>
      <xdr:rowOff>293688</xdr:rowOff>
    </xdr:to>
    <xdr:pic>
      <xdr:nvPicPr>
        <xdr:cNvPr id="53987" name="Picture 53986">
          <a:extLst>
            <a:ext uri="{FF2B5EF4-FFF2-40B4-BE49-F238E27FC236}">
              <a16:creationId xmlns:a16="http://schemas.microsoft.com/office/drawing/2014/main" id="{3606EE03-B545-7F84-4549-F58C8297BC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54516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115703</xdr:colOff>
      <xdr:row>282</xdr:row>
      <xdr:rowOff>39688</xdr:rowOff>
    </xdr:from>
    <xdr:to>
      <xdr:col>6</xdr:col>
      <xdr:colOff>322447</xdr:colOff>
      <xdr:row>282</xdr:row>
      <xdr:rowOff>293688</xdr:rowOff>
    </xdr:to>
    <xdr:pic>
      <xdr:nvPicPr>
        <xdr:cNvPr id="53990" name="Picture 53989">
          <a:extLst>
            <a:ext uri="{FF2B5EF4-FFF2-40B4-BE49-F238E27FC236}">
              <a16:creationId xmlns:a16="http://schemas.microsoft.com/office/drawing/2014/main" id="{BCDA9705-5D53-7DD4-D4C7-04630F451B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928" y="95451613"/>
          <a:ext cx="206744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283</xdr:row>
      <xdr:rowOff>39688</xdr:rowOff>
    </xdr:from>
    <xdr:to>
      <xdr:col>2</xdr:col>
      <xdr:colOff>312738</xdr:colOff>
      <xdr:row>283</xdr:row>
      <xdr:rowOff>293688</xdr:rowOff>
    </xdr:to>
    <xdr:pic>
      <xdr:nvPicPr>
        <xdr:cNvPr id="53993" name="Picture 53992">
          <a:extLst>
            <a:ext uri="{FF2B5EF4-FFF2-40B4-BE49-F238E27FC236}">
              <a16:creationId xmlns:a16="http://schemas.microsoft.com/office/drawing/2014/main" id="{7F8E82B6-BBFF-FA4C-CA59-AE2F17BFDF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57849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283</xdr:row>
      <xdr:rowOff>39688</xdr:rowOff>
    </xdr:from>
    <xdr:to>
      <xdr:col>6</xdr:col>
      <xdr:colOff>346075</xdr:colOff>
      <xdr:row>283</xdr:row>
      <xdr:rowOff>293688</xdr:rowOff>
    </xdr:to>
    <xdr:pic>
      <xdr:nvPicPr>
        <xdr:cNvPr id="53996" name="Picture 53995">
          <a:extLst>
            <a:ext uri="{FF2B5EF4-FFF2-40B4-BE49-F238E27FC236}">
              <a16:creationId xmlns:a16="http://schemas.microsoft.com/office/drawing/2014/main" id="{37F92310-551C-57AC-FD38-01351550E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57849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287</xdr:row>
      <xdr:rowOff>39688</xdr:rowOff>
    </xdr:from>
    <xdr:to>
      <xdr:col>2</xdr:col>
      <xdr:colOff>312738</xdr:colOff>
      <xdr:row>287</xdr:row>
      <xdr:rowOff>293688</xdr:rowOff>
    </xdr:to>
    <xdr:pic>
      <xdr:nvPicPr>
        <xdr:cNvPr id="53999" name="Picture 53998">
          <a:extLst>
            <a:ext uri="{FF2B5EF4-FFF2-40B4-BE49-F238E27FC236}">
              <a16:creationId xmlns:a16="http://schemas.microsoft.com/office/drawing/2014/main" id="{9EB61403-3ED7-A149-A827-1D1039CA63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71851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287</xdr:row>
      <xdr:rowOff>39688</xdr:rowOff>
    </xdr:from>
    <xdr:to>
      <xdr:col>6</xdr:col>
      <xdr:colOff>346075</xdr:colOff>
      <xdr:row>287</xdr:row>
      <xdr:rowOff>293688</xdr:rowOff>
    </xdr:to>
    <xdr:pic>
      <xdr:nvPicPr>
        <xdr:cNvPr id="54002" name="Picture 54001">
          <a:extLst>
            <a:ext uri="{FF2B5EF4-FFF2-40B4-BE49-F238E27FC236}">
              <a16:creationId xmlns:a16="http://schemas.microsoft.com/office/drawing/2014/main" id="{573DA5E3-D937-9C6D-1B6F-EFCFB741B2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71851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288</xdr:row>
      <xdr:rowOff>39688</xdr:rowOff>
    </xdr:from>
    <xdr:to>
      <xdr:col>2</xdr:col>
      <xdr:colOff>312738</xdr:colOff>
      <xdr:row>288</xdr:row>
      <xdr:rowOff>293688</xdr:rowOff>
    </xdr:to>
    <xdr:pic>
      <xdr:nvPicPr>
        <xdr:cNvPr id="54005" name="Picture 54004">
          <a:extLst>
            <a:ext uri="{FF2B5EF4-FFF2-40B4-BE49-F238E27FC236}">
              <a16:creationId xmlns:a16="http://schemas.microsoft.com/office/drawing/2014/main" id="{23EA3A26-D967-1A51-C5D6-C1A186C9CC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75185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288</xdr:row>
      <xdr:rowOff>39688</xdr:rowOff>
    </xdr:from>
    <xdr:to>
      <xdr:col>6</xdr:col>
      <xdr:colOff>346075</xdr:colOff>
      <xdr:row>288</xdr:row>
      <xdr:rowOff>293688</xdr:rowOff>
    </xdr:to>
    <xdr:pic>
      <xdr:nvPicPr>
        <xdr:cNvPr id="54008" name="Picture 54007">
          <a:extLst>
            <a:ext uri="{FF2B5EF4-FFF2-40B4-BE49-F238E27FC236}">
              <a16:creationId xmlns:a16="http://schemas.microsoft.com/office/drawing/2014/main" id="{1CCA05E6-1CEB-68A5-C417-455F9AE69F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75185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289</xdr:row>
      <xdr:rowOff>39688</xdr:rowOff>
    </xdr:from>
    <xdr:to>
      <xdr:col>2</xdr:col>
      <xdr:colOff>312738</xdr:colOff>
      <xdr:row>289</xdr:row>
      <xdr:rowOff>293688</xdr:rowOff>
    </xdr:to>
    <xdr:pic>
      <xdr:nvPicPr>
        <xdr:cNvPr id="54011" name="Picture 54010">
          <a:extLst>
            <a:ext uri="{FF2B5EF4-FFF2-40B4-BE49-F238E27FC236}">
              <a16:creationId xmlns:a16="http://schemas.microsoft.com/office/drawing/2014/main" id="{7C50309D-4607-3E14-52B8-5FC246D37E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78519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289</xdr:row>
      <xdr:rowOff>39688</xdr:rowOff>
    </xdr:from>
    <xdr:to>
      <xdr:col>6</xdr:col>
      <xdr:colOff>346075</xdr:colOff>
      <xdr:row>289</xdr:row>
      <xdr:rowOff>293688</xdr:rowOff>
    </xdr:to>
    <xdr:pic>
      <xdr:nvPicPr>
        <xdr:cNvPr id="54014" name="Picture 54013">
          <a:extLst>
            <a:ext uri="{FF2B5EF4-FFF2-40B4-BE49-F238E27FC236}">
              <a16:creationId xmlns:a16="http://schemas.microsoft.com/office/drawing/2014/main" id="{16DE1DA8-8A5C-A7EC-AB7B-BE57F46A97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78519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82366</xdr:colOff>
      <xdr:row>290</xdr:row>
      <xdr:rowOff>39688</xdr:rowOff>
    </xdr:from>
    <xdr:to>
      <xdr:col>2</xdr:col>
      <xdr:colOff>289110</xdr:colOff>
      <xdr:row>290</xdr:row>
      <xdr:rowOff>293688</xdr:rowOff>
    </xdr:to>
    <xdr:pic>
      <xdr:nvPicPr>
        <xdr:cNvPr id="54017" name="Picture 54016">
          <a:extLst>
            <a:ext uri="{FF2B5EF4-FFF2-40B4-BE49-F238E27FC236}">
              <a16:creationId xmlns:a16="http://schemas.microsoft.com/office/drawing/2014/main" id="{16A0B17B-D5CB-B609-53B3-B3CD76F0B4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391" y="98185288"/>
          <a:ext cx="206744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290</xdr:row>
      <xdr:rowOff>39688</xdr:rowOff>
    </xdr:from>
    <xdr:to>
      <xdr:col>6</xdr:col>
      <xdr:colOff>346075</xdr:colOff>
      <xdr:row>290</xdr:row>
      <xdr:rowOff>293688</xdr:rowOff>
    </xdr:to>
    <xdr:pic>
      <xdr:nvPicPr>
        <xdr:cNvPr id="54020" name="Picture 54019">
          <a:extLst>
            <a:ext uri="{FF2B5EF4-FFF2-40B4-BE49-F238E27FC236}">
              <a16:creationId xmlns:a16="http://schemas.microsoft.com/office/drawing/2014/main" id="{5F269A56-6335-1B66-8514-11433DD7B7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81852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115888</xdr:colOff>
      <xdr:row>291</xdr:row>
      <xdr:rowOff>39688</xdr:rowOff>
    </xdr:from>
    <xdr:to>
      <xdr:col>2</xdr:col>
      <xdr:colOff>255588</xdr:colOff>
      <xdr:row>291</xdr:row>
      <xdr:rowOff>293688</xdr:rowOff>
    </xdr:to>
    <xdr:pic>
      <xdr:nvPicPr>
        <xdr:cNvPr id="54023" name="Picture 54022">
          <a:extLst>
            <a:ext uri="{FF2B5EF4-FFF2-40B4-BE49-F238E27FC236}">
              <a16:creationId xmlns:a16="http://schemas.microsoft.com/office/drawing/2014/main" id="{980FD07A-9677-A6D3-B44A-E57B9BE6AD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3913" y="98518663"/>
          <a:ext cx="139700" cy="254000"/>
        </a:xfrm>
        <a:prstGeom prst="rect">
          <a:avLst/>
        </a:prstGeom>
      </xdr:spPr>
    </xdr:pic>
    <xdr:clientData/>
  </xdr:twoCellAnchor>
  <xdr:twoCellAnchor>
    <xdr:from>
      <xdr:col>6</xdr:col>
      <xdr:colOff>108832</xdr:colOff>
      <xdr:row>291</xdr:row>
      <xdr:rowOff>39688</xdr:rowOff>
    </xdr:from>
    <xdr:to>
      <xdr:col>6</xdr:col>
      <xdr:colOff>329318</xdr:colOff>
      <xdr:row>291</xdr:row>
      <xdr:rowOff>293688</xdr:rowOff>
    </xdr:to>
    <xdr:pic>
      <xdr:nvPicPr>
        <xdr:cNvPr id="54026" name="Picture 54025">
          <a:extLst>
            <a:ext uri="{FF2B5EF4-FFF2-40B4-BE49-F238E27FC236}">
              <a16:creationId xmlns:a16="http://schemas.microsoft.com/office/drawing/2014/main" id="{3D5F75E1-A83C-B09C-97AB-0AB302F1E0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6057" y="98518663"/>
          <a:ext cx="220486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292</xdr:row>
      <xdr:rowOff>39688</xdr:rowOff>
    </xdr:from>
    <xdr:to>
      <xdr:col>2</xdr:col>
      <xdr:colOff>312738</xdr:colOff>
      <xdr:row>292</xdr:row>
      <xdr:rowOff>293688</xdr:rowOff>
    </xdr:to>
    <xdr:pic>
      <xdr:nvPicPr>
        <xdr:cNvPr id="54029" name="Picture 54028">
          <a:extLst>
            <a:ext uri="{FF2B5EF4-FFF2-40B4-BE49-F238E27FC236}">
              <a16:creationId xmlns:a16="http://schemas.microsoft.com/office/drawing/2014/main" id="{C999016C-AAF3-CFF3-FD6B-CCB1B6AF0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88520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292</xdr:row>
      <xdr:rowOff>39688</xdr:rowOff>
    </xdr:from>
    <xdr:to>
      <xdr:col>6</xdr:col>
      <xdr:colOff>346075</xdr:colOff>
      <xdr:row>292</xdr:row>
      <xdr:rowOff>293688</xdr:rowOff>
    </xdr:to>
    <xdr:pic>
      <xdr:nvPicPr>
        <xdr:cNvPr id="54032" name="Picture 54031">
          <a:extLst>
            <a:ext uri="{FF2B5EF4-FFF2-40B4-BE49-F238E27FC236}">
              <a16:creationId xmlns:a16="http://schemas.microsoft.com/office/drawing/2014/main" id="{6A8E903E-9722-A6F3-40DB-B2693C714C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88520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293</xdr:row>
      <xdr:rowOff>39688</xdr:rowOff>
    </xdr:from>
    <xdr:to>
      <xdr:col>2</xdr:col>
      <xdr:colOff>312738</xdr:colOff>
      <xdr:row>293</xdr:row>
      <xdr:rowOff>293688</xdr:rowOff>
    </xdr:to>
    <xdr:pic>
      <xdr:nvPicPr>
        <xdr:cNvPr id="54035" name="Picture 54034">
          <a:extLst>
            <a:ext uri="{FF2B5EF4-FFF2-40B4-BE49-F238E27FC236}">
              <a16:creationId xmlns:a16="http://schemas.microsoft.com/office/drawing/2014/main" id="{4CA7CD0A-5AC0-3219-A3CE-0F8EBDDB1D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91854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293</xdr:row>
      <xdr:rowOff>39688</xdr:rowOff>
    </xdr:from>
    <xdr:to>
      <xdr:col>6</xdr:col>
      <xdr:colOff>346075</xdr:colOff>
      <xdr:row>293</xdr:row>
      <xdr:rowOff>293688</xdr:rowOff>
    </xdr:to>
    <xdr:pic>
      <xdr:nvPicPr>
        <xdr:cNvPr id="54038" name="Picture 54037">
          <a:extLst>
            <a:ext uri="{FF2B5EF4-FFF2-40B4-BE49-F238E27FC236}">
              <a16:creationId xmlns:a16="http://schemas.microsoft.com/office/drawing/2014/main" id="{34F1D91C-D626-D182-7BBE-14DBDC4CC9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91854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294</xdr:row>
      <xdr:rowOff>39688</xdr:rowOff>
    </xdr:from>
    <xdr:to>
      <xdr:col>2</xdr:col>
      <xdr:colOff>312738</xdr:colOff>
      <xdr:row>294</xdr:row>
      <xdr:rowOff>293688</xdr:rowOff>
    </xdr:to>
    <xdr:pic>
      <xdr:nvPicPr>
        <xdr:cNvPr id="54041" name="Picture 54040">
          <a:extLst>
            <a:ext uri="{FF2B5EF4-FFF2-40B4-BE49-F238E27FC236}">
              <a16:creationId xmlns:a16="http://schemas.microsoft.com/office/drawing/2014/main" id="{F6339E53-5C1E-072C-700E-2EFF9B9FA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995187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294</xdr:row>
      <xdr:rowOff>39688</xdr:rowOff>
    </xdr:from>
    <xdr:to>
      <xdr:col>6</xdr:col>
      <xdr:colOff>346075</xdr:colOff>
      <xdr:row>294</xdr:row>
      <xdr:rowOff>293688</xdr:rowOff>
    </xdr:to>
    <xdr:pic>
      <xdr:nvPicPr>
        <xdr:cNvPr id="54044" name="Picture 54043">
          <a:extLst>
            <a:ext uri="{FF2B5EF4-FFF2-40B4-BE49-F238E27FC236}">
              <a16:creationId xmlns:a16="http://schemas.microsoft.com/office/drawing/2014/main" id="{0FAA3BEB-F8A6-AC34-9396-9D0857D8DB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95187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33572</xdr:colOff>
      <xdr:row>295</xdr:row>
      <xdr:rowOff>39688</xdr:rowOff>
    </xdr:from>
    <xdr:to>
      <xdr:col>2</xdr:col>
      <xdr:colOff>337904</xdr:colOff>
      <xdr:row>295</xdr:row>
      <xdr:rowOff>293688</xdr:rowOff>
    </xdr:to>
    <xdr:pic>
      <xdr:nvPicPr>
        <xdr:cNvPr id="54047" name="Picture 54046">
          <a:extLst>
            <a:ext uri="{FF2B5EF4-FFF2-40B4-BE49-F238E27FC236}">
              <a16:creationId xmlns:a16="http://schemas.microsoft.com/office/drawing/2014/main" id="{24425850-7633-E585-E80D-0BB0091492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597" y="99852163"/>
          <a:ext cx="304332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295</xdr:row>
      <xdr:rowOff>39688</xdr:rowOff>
    </xdr:from>
    <xdr:to>
      <xdr:col>6</xdr:col>
      <xdr:colOff>346075</xdr:colOff>
      <xdr:row>295</xdr:row>
      <xdr:rowOff>293688</xdr:rowOff>
    </xdr:to>
    <xdr:pic>
      <xdr:nvPicPr>
        <xdr:cNvPr id="54050" name="Picture 54049">
          <a:extLst>
            <a:ext uri="{FF2B5EF4-FFF2-40B4-BE49-F238E27FC236}">
              <a16:creationId xmlns:a16="http://schemas.microsoft.com/office/drawing/2014/main" id="{550290FB-6E2B-22F9-1DD2-CB1BF96794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998521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296</xdr:row>
      <xdr:rowOff>39688</xdr:rowOff>
    </xdr:from>
    <xdr:to>
      <xdr:col>2</xdr:col>
      <xdr:colOff>312738</xdr:colOff>
      <xdr:row>296</xdr:row>
      <xdr:rowOff>293688</xdr:rowOff>
    </xdr:to>
    <xdr:pic>
      <xdr:nvPicPr>
        <xdr:cNvPr id="54053" name="Picture 54052">
          <a:extLst>
            <a:ext uri="{FF2B5EF4-FFF2-40B4-BE49-F238E27FC236}">
              <a16:creationId xmlns:a16="http://schemas.microsoft.com/office/drawing/2014/main" id="{D65C854D-5E5E-9FCD-A40B-0B69087AA0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001855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296</xdr:row>
      <xdr:rowOff>39688</xdr:rowOff>
    </xdr:from>
    <xdr:to>
      <xdr:col>6</xdr:col>
      <xdr:colOff>346075</xdr:colOff>
      <xdr:row>296</xdr:row>
      <xdr:rowOff>293688</xdr:rowOff>
    </xdr:to>
    <xdr:pic>
      <xdr:nvPicPr>
        <xdr:cNvPr id="54056" name="Picture 54055">
          <a:extLst>
            <a:ext uri="{FF2B5EF4-FFF2-40B4-BE49-F238E27FC236}">
              <a16:creationId xmlns:a16="http://schemas.microsoft.com/office/drawing/2014/main" id="{A4901A3B-D44C-6D9F-FBEB-314341BAE2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001855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300</xdr:row>
      <xdr:rowOff>39688</xdr:rowOff>
    </xdr:from>
    <xdr:to>
      <xdr:col>2</xdr:col>
      <xdr:colOff>312738</xdr:colOff>
      <xdr:row>300</xdr:row>
      <xdr:rowOff>293688</xdr:rowOff>
    </xdr:to>
    <xdr:pic>
      <xdr:nvPicPr>
        <xdr:cNvPr id="54059" name="Picture 54058">
          <a:extLst>
            <a:ext uri="{FF2B5EF4-FFF2-40B4-BE49-F238E27FC236}">
              <a16:creationId xmlns:a16="http://schemas.microsoft.com/office/drawing/2014/main" id="{B1F80BA0-7CDB-F7C9-5FFD-2D02F468D2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015857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300</xdr:row>
      <xdr:rowOff>39688</xdr:rowOff>
    </xdr:from>
    <xdr:to>
      <xdr:col>6</xdr:col>
      <xdr:colOff>346075</xdr:colOff>
      <xdr:row>300</xdr:row>
      <xdr:rowOff>293688</xdr:rowOff>
    </xdr:to>
    <xdr:pic>
      <xdr:nvPicPr>
        <xdr:cNvPr id="54062" name="Picture 54061">
          <a:extLst>
            <a:ext uri="{FF2B5EF4-FFF2-40B4-BE49-F238E27FC236}">
              <a16:creationId xmlns:a16="http://schemas.microsoft.com/office/drawing/2014/main" id="{3598047F-D606-7C2C-D32F-90285CD01F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015857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301</xdr:row>
      <xdr:rowOff>39688</xdr:rowOff>
    </xdr:from>
    <xdr:to>
      <xdr:col>2</xdr:col>
      <xdr:colOff>312738</xdr:colOff>
      <xdr:row>301</xdr:row>
      <xdr:rowOff>293688</xdr:rowOff>
    </xdr:to>
    <xdr:pic>
      <xdr:nvPicPr>
        <xdr:cNvPr id="54065" name="Picture 54064">
          <a:extLst>
            <a:ext uri="{FF2B5EF4-FFF2-40B4-BE49-F238E27FC236}">
              <a16:creationId xmlns:a16="http://schemas.microsoft.com/office/drawing/2014/main" id="{E2BB4D69-9B93-AF28-AA86-CDB918BDD4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019190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149225</xdr:colOff>
      <xdr:row>301</xdr:row>
      <xdr:rowOff>39688</xdr:rowOff>
    </xdr:from>
    <xdr:to>
      <xdr:col>6</xdr:col>
      <xdr:colOff>288925</xdr:colOff>
      <xdr:row>301</xdr:row>
      <xdr:rowOff>293688</xdr:rowOff>
    </xdr:to>
    <xdr:pic>
      <xdr:nvPicPr>
        <xdr:cNvPr id="54068" name="Picture 54067">
          <a:extLst>
            <a:ext uri="{FF2B5EF4-FFF2-40B4-BE49-F238E27FC236}">
              <a16:creationId xmlns:a16="http://schemas.microsoft.com/office/drawing/2014/main" id="{4591A008-1D7C-612F-787E-CBA5F640AF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450" y="101919088"/>
          <a:ext cx="1397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302</xdr:row>
      <xdr:rowOff>39688</xdr:rowOff>
    </xdr:from>
    <xdr:to>
      <xdr:col>2</xdr:col>
      <xdr:colOff>312738</xdr:colOff>
      <xdr:row>302</xdr:row>
      <xdr:rowOff>293688</xdr:rowOff>
    </xdr:to>
    <xdr:pic>
      <xdr:nvPicPr>
        <xdr:cNvPr id="54071" name="Picture 54070">
          <a:extLst>
            <a:ext uri="{FF2B5EF4-FFF2-40B4-BE49-F238E27FC236}">
              <a16:creationId xmlns:a16="http://schemas.microsoft.com/office/drawing/2014/main" id="{10AC1DD0-9AD2-8E53-08F8-F0B99EF6C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022524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302</xdr:row>
      <xdr:rowOff>39688</xdr:rowOff>
    </xdr:from>
    <xdr:to>
      <xdr:col>6</xdr:col>
      <xdr:colOff>346075</xdr:colOff>
      <xdr:row>302</xdr:row>
      <xdr:rowOff>293688</xdr:rowOff>
    </xdr:to>
    <xdr:pic>
      <xdr:nvPicPr>
        <xdr:cNvPr id="54074" name="Picture 54073">
          <a:extLst>
            <a:ext uri="{FF2B5EF4-FFF2-40B4-BE49-F238E27FC236}">
              <a16:creationId xmlns:a16="http://schemas.microsoft.com/office/drawing/2014/main" id="{EA968601-EB2D-C9E7-CA6D-8B0A18005A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022524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75495</xdr:colOff>
      <xdr:row>303</xdr:row>
      <xdr:rowOff>39688</xdr:rowOff>
    </xdr:from>
    <xdr:to>
      <xdr:col>2</xdr:col>
      <xdr:colOff>295981</xdr:colOff>
      <xdr:row>303</xdr:row>
      <xdr:rowOff>293688</xdr:rowOff>
    </xdr:to>
    <xdr:pic>
      <xdr:nvPicPr>
        <xdr:cNvPr id="54077" name="Picture 54076">
          <a:extLst>
            <a:ext uri="{FF2B5EF4-FFF2-40B4-BE49-F238E27FC236}">
              <a16:creationId xmlns:a16="http://schemas.microsoft.com/office/drawing/2014/main" id="{8C6E0127-4501-8742-4CE5-8CA538CD0C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520" y="102585838"/>
          <a:ext cx="220486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303</xdr:row>
      <xdr:rowOff>39688</xdr:rowOff>
    </xdr:from>
    <xdr:to>
      <xdr:col>6</xdr:col>
      <xdr:colOff>346075</xdr:colOff>
      <xdr:row>303</xdr:row>
      <xdr:rowOff>293688</xdr:rowOff>
    </xdr:to>
    <xdr:pic>
      <xdr:nvPicPr>
        <xdr:cNvPr id="54080" name="Picture 54079">
          <a:extLst>
            <a:ext uri="{FF2B5EF4-FFF2-40B4-BE49-F238E27FC236}">
              <a16:creationId xmlns:a16="http://schemas.microsoft.com/office/drawing/2014/main" id="{C9E79B06-0C66-A7FF-07AB-7F6C135D6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025858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304</xdr:row>
      <xdr:rowOff>39688</xdr:rowOff>
    </xdr:from>
    <xdr:to>
      <xdr:col>2</xdr:col>
      <xdr:colOff>312738</xdr:colOff>
      <xdr:row>304</xdr:row>
      <xdr:rowOff>293688</xdr:rowOff>
    </xdr:to>
    <xdr:pic>
      <xdr:nvPicPr>
        <xdr:cNvPr id="54083" name="Picture 54082">
          <a:extLst>
            <a:ext uri="{FF2B5EF4-FFF2-40B4-BE49-F238E27FC236}">
              <a16:creationId xmlns:a16="http://schemas.microsoft.com/office/drawing/2014/main" id="{34F5F448-A6C1-1F1C-FCAC-634574595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029192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304</xdr:row>
      <xdr:rowOff>39688</xdr:rowOff>
    </xdr:from>
    <xdr:to>
      <xdr:col>6</xdr:col>
      <xdr:colOff>346075</xdr:colOff>
      <xdr:row>304</xdr:row>
      <xdr:rowOff>293688</xdr:rowOff>
    </xdr:to>
    <xdr:pic>
      <xdr:nvPicPr>
        <xdr:cNvPr id="54086" name="Picture 54085">
          <a:extLst>
            <a:ext uri="{FF2B5EF4-FFF2-40B4-BE49-F238E27FC236}">
              <a16:creationId xmlns:a16="http://schemas.microsoft.com/office/drawing/2014/main" id="{C9905DB0-018B-6374-9D03-291B7C35AA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029192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305</xdr:row>
      <xdr:rowOff>39688</xdr:rowOff>
    </xdr:from>
    <xdr:to>
      <xdr:col>2</xdr:col>
      <xdr:colOff>312738</xdr:colOff>
      <xdr:row>305</xdr:row>
      <xdr:rowOff>293688</xdr:rowOff>
    </xdr:to>
    <xdr:pic>
      <xdr:nvPicPr>
        <xdr:cNvPr id="54089" name="Picture 54088">
          <a:extLst>
            <a:ext uri="{FF2B5EF4-FFF2-40B4-BE49-F238E27FC236}">
              <a16:creationId xmlns:a16="http://schemas.microsoft.com/office/drawing/2014/main" id="{B0470601-4438-7D4A-2E7E-5C7FE2BB37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032525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115703</xdr:colOff>
      <xdr:row>305</xdr:row>
      <xdr:rowOff>39688</xdr:rowOff>
    </xdr:from>
    <xdr:to>
      <xdr:col>6</xdr:col>
      <xdr:colOff>322447</xdr:colOff>
      <xdr:row>305</xdr:row>
      <xdr:rowOff>293688</xdr:rowOff>
    </xdr:to>
    <xdr:pic>
      <xdr:nvPicPr>
        <xdr:cNvPr id="54092" name="Picture 54091">
          <a:extLst>
            <a:ext uri="{FF2B5EF4-FFF2-40B4-BE49-F238E27FC236}">
              <a16:creationId xmlns:a16="http://schemas.microsoft.com/office/drawing/2014/main" id="{407464D3-5416-51B8-4C4F-79FBF5A28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928" y="103252588"/>
          <a:ext cx="206744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306</xdr:row>
      <xdr:rowOff>39688</xdr:rowOff>
    </xdr:from>
    <xdr:to>
      <xdr:col>2</xdr:col>
      <xdr:colOff>312738</xdr:colOff>
      <xdr:row>306</xdr:row>
      <xdr:rowOff>293688</xdr:rowOff>
    </xdr:to>
    <xdr:pic>
      <xdr:nvPicPr>
        <xdr:cNvPr id="54095" name="Picture 54094">
          <a:extLst>
            <a:ext uri="{FF2B5EF4-FFF2-40B4-BE49-F238E27FC236}">
              <a16:creationId xmlns:a16="http://schemas.microsoft.com/office/drawing/2014/main" id="{20732A5D-4CC7-DEDC-789D-7BB61247E2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035859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306</xdr:row>
      <xdr:rowOff>39688</xdr:rowOff>
    </xdr:from>
    <xdr:to>
      <xdr:col>6</xdr:col>
      <xdr:colOff>346075</xdr:colOff>
      <xdr:row>306</xdr:row>
      <xdr:rowOff>293688</xdr:rowOff>
    </xdr:to>
    <xdr:pic>
      <xdr:nvPicPr>
        <xdr:cNvPr id="54098" name="Picture 54097">
          <a:extLst>
            <a:ext uri="{FF2B5EF4-FFF2-40B4-BE49-F238E27FC236}">
              <a16:creationId xmlns:a16="http://schemas.microsoft.com/office/drawing/2014/main" id="{A6C9DD9E-14BB-8E22-9960-B6726FDE8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035859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307</xdr:row>
      <xdr:rowOff>39688</xdr:rowOff>
    </xdr:from>
    <xdr:to>
      <xdr:col>2</xdr:col>
      <xdr:colOff>312738</xdr:colOff>
      <xdr:row>307</xdr:row>
      <xdr:rowOff>293688</xdr:rowOff>
    </xdr:to>
    <xdr:pic>
      <xdr:nvPicPr>
        <xdr:cNvPr id="54101" name="Picture 54100">
          <a:extLst>
            <a:ext uri="{FF2B5EF4-FFF2-40B4-BE49-F238E27FC236}">
              <a16:creationId xmlns:a16="http://schemas.microsoft.com/office/drawing/2014/main" id="{8AB7C012-803A-9C86-F44B-8C4C4B95BF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039193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307</xdr:row>
      <xdr:rowOff>39688</xdr:rowOff>
    </xdr:from>
    <xdr:to>
      <xdr:col>6</xdr:col>
      <xdr:colOff>346075</xdr:colOff>
      <xdr:row>307</xdr:row>
      <xdr:rowOff>293688</xdr:rowOff>
    </xdr:to>
    <xdr:pic>
      <xdr:nvPicPr>
        <xdr:cNvPr id="54104" name="Picture 54103">
          <a:extLst>
            <a:ext uri="{FF2B5EF4-FFF2-40B4-BE49-F238E27FC236}">
              <a16:creationId xmlns:a16="http://schemas.microsoft.com/office/drawing/2014/main" id="{05F2046E-B3CE-4670-701E-6F2436A27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039193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308</xdr:row>
      <xdr:rowOff>39688</xdr:rowOff>
    </xdr:from>
    <xdr:to>
      <xdr:col>2</xdr:col>
      <xdr:colOff>312738</xdr:colOff>
      <xdr:row>308</xdr:row>
      <xdr:rowOff>293688</xdr:rowOff>
    </xdr:to>
    <xdr:pic>
      <xdr:nvPicPr>
        <xdr:cNvPr id="54107" name="Picture 54106">
          <a:extLst>
            <a:ext uri="{FF2B5EF4-FFF2-40B4-BE49-F238E27FC236}">
              <a16:creationId xmlns:a16="http://schemas.microsoft.com/office/drawing/2014/main" id="{A15EBCCE-1AF3-EB71-0E46-F201376D7E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042527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308</xdr:row>
      <xdr:rowOff>39688</xdr:rowOff>
    </xdr:from>
    <xdr:to>
      <xdr:col>6</xdr:col>
      <xdr:colOff>346075</xdr:colOff>
      <xdr:row>308</xdr:row>
      <xdr:rowOff>293688</xdr:rowOff>
    </xdr:to>
    <xdr:pic>
      <xdr:nvPicPr>
        <xdr:cNvPr id="54110" name="Picture 54109">
          <a:extLst>
            <a:ext uri="{FF2B5EF4-FFF2-40B4-BE49-F238E27FC236}">
              <a16:creationId xmlns:a16="http://schemas.microsoft.com/office/drawing/2014/main" id="{7E2940F7-0B2E-5A4C-18B9-8449B82A77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042527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309</xdr:row>
      <xdr:rowOff>39688</xdr:rowOff>
    </xdr:from>
    <xdr:to>
      <xdr:col>2</xdr:col>
      <xdr:colOff>312738</xdr:colOff>
      <xdr:row>309</xdr:row>
      <xdr:rowOff>293688</xdr:rowOff>
    </xdr:to>
    <xdr:pic>
      <xdr:nvPicPr>
        <xdr:cNvPr id="54113" name="Picture 54112">
          <a:extLst>
            <a:ext uri="{FF2B5EF4-FFF2-40B4-BE49-F238E27FC236}">
              <a16:creationId xmlns:a16="http://schemas.microsoft.com/office/drawing/2014/main" id="{1C5C8075-B1C8-C990-207D-58B5D6168B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045860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66909</xdr:colOff>
      <xdr:row>309</xdr:row>
      <xdr:rowOff>39688</xdr:rowOff>
    </xdr:from>
    <xdr:to>
      <xdr:col>6</xdr:col>
      <xdr:colOff>371241</xdr:colOff>
      <xdr:row>309</xdr:row>
      <xdr:rowOff>293688</xdr:rowOff>
    </xdr:to>
    <xdr:pic>
      <xdr:nvPicPr>
        <xdr:cNvPr id="54116" name="Picture 54115">
          <a:extLst>
            <a:ext uri="{FF2B5EF4-FFF2-40B4-BE49-F238E27FC236}">
              <a16:creationId xmlns:a16="http://schemas.microsoft.com/office/drawing/2014/main" id="{A39DDA91-C4A4-F963-E36F-56258050FD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4134" y="104586088"/>
          <a:ext cx="304332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313</xdr:row>
      <xdr:rowOff>39688</xdr:rowOff>
    </xdr:from>
    <xdr:to>
      <xdr:col>2</xdr:col>
      <xdr:colOff>312738</xdr:colOff>
      <xdr:row>313</xdr:row>
      <xdr:rowOff>293688</xdr:rowOff>
    </xdr:to>
    <xdr:pic>
      <xdr:nvPicPr>
        <xdr:cNvPr id="54119" name="Picture 54118">
          <a:extLst>
            <a:ext uri="{FF2B5EF4-FFF2-40B4-BE49-F238E27FC236}">
              <a16:creationId xmlns:a16="http://schemas.microsoft.com/office/drawing/2014/main" id="{2908FDC8-DF4B-B53D-E0A9-50F85D1C09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059862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313</xdr:row>
      <xdr:rowOff>39688</xdr:rowOff>
    </xdr:from>
    <xdr:to>
      <xdr:col>6</xdr:col>
      <xdr:colOff>346075</xdr:colOff>
      <xdr:row>313</xdr:row>
      <xdr:rowOff>293688</xdr:rowOff>
    </xdr:to>
    <xdr:pic>
      <xdr:nvPicPr>
        <xdr:cNvPr id="54122" name="Picture 54121">
          <a:extLst>
            <a:ext uri="{FF2B5EF4-FFF2-40B4-BE49-F238E27FC236}">
              <a16:creationId xmlns:a16="http://schemas.microsoft.com/office/drawing/2014/main" id="{887DE0C4-1D6C-3711-B304-9340D5A7B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059862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314</xdr:row>
      <xdr:rowOff>39688</xdr:rowOff>
    </xdr:from>
    <xdr:to>
      <xdr:col>2</xdr:col>
      <xdr:colOff>312738</xdr:colOff>
      <xdr:row>314</xdr:row>
      <xdr:rowOff>293688</xdr:rowOff>
    </xdr:to>
    <xdr:pic>
      <xdr:nvPicPr>
        <xdr:cNvPr id="54125" name="Picture 54124">
          <a:extLst>
            <a:ext uri="{FF2B5EF4-FFF2-40B4-BE49-F238E27FC236}">
              <a16:creationId xmlns:a16="http://schemas.microsoft.com/office/drawing/2014/main" id="{3678CE03-A4A0-EA4F-AD95-BA91D278B9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063196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314</xdr:row>
      <xdr:rowOff>39688</xdr:rowOff>
    </xdr:from>
    <xdr:to>
      <xdr:col>6</xdr:col>
      <xdr:colOff>346075</xdr:colOff>
      <xdr:row>314</xdr:row>
      <xdr:rowOff>293688</xdr:rowOff>
    </xdr:to>
    <xdr:pic>
      <xdr:nvPicPr>
        <xdr:cNvPr id="54128" name="Picture 54127">
          <a:extLst>
            <a:ext uri="{FF2B5EF4-FFF2-40B4-BE49-F238E27FC236}">
              <a16:creationId xmlns:a16="http://schemas.microsoft.com/office/drawing/2014/main" id="{03D56F44-45C6-87F1-F5F8-675BE294FB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063196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315</xdr:row>
      <xdr:rowOff>39688</xdr:rowOff>
    </xdr:from>
    <xdr:to>
      <xdr:col>2</xdr:col>
      <xdr:colOff>312738</xdr:colOff>
      <xdr:row>315</xdr:row>
      <xdr:rowOff>293688</xdr:rowOff>
    </xdr:to>
    <xdr:pic>
      <xdr:nvPicPr>
        <xdr:cNvPr id="54131" name="Picture 54130">
          <a:extLst>
            <a:ext uri="{FF2B5EF4-FFF2-40B4-BE49-F238E27FC236}">
              <a16:creationId xmlns:a16="http://schemas.microsoft.com/office/drawing/2014/main" id="{BDD9FFB6-15B0-686A-38FB-25DBB38FF9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066530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315</xdr:row>
      <xdr:rowOff>39688</xdr:rowOff>
    </xdr:from>
    <xdr:to>
      <xdr:col>6</xdr:col>
      <xdr:colOff>346075</xdr:colOff>
      <xdr:row>315</xdr:row>
      <xdr:rowOff>293688</xdr:rowOff>
    </xdr:to>
    <xdr:pic>
      <xdr:nvPicPr>
        <xdr:cNvPr id="54134" name="Picture 54133">
          <a:extLst>
            <a:ext uri="{FF2B5EF4-FFF2-40B4-BE49-F238E27FC236}">
              <a16:creationId xmlns:a16="http://schemas.microsoft.com/office/drawing/2014/main" id="{C898797A-ED2D-F0D7-239D-1416696C18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066530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82366</xdr:colOff>
      <xdr:row>316</xdr:row>
      <xdr:rowOff>39688</xdr:rowOff>
    </xdr:from>
    <xdr:to>
      <xdr:col>2</xdr:col>
      <xdr:colOff>289110</xdr:colOff>
      <xdr:row>316</xdr:row>
      <xdr:rowOff>293688</xdr:rowOff>
    </xdr:to>
    <xdr:pic>
      <xdr:nvPicPr>
        <xdr:cNvPr id="54137" name="Picture 54136">
          <a:extLst>
            <a:ext uri="{FF2B5EF4-FFF2-40B4-BE49-F238E27FC236}">
              <a16:creationId xmlns:a16="http://schemas.microsoft.com/office/drawing/2014/main" id="{1F806157-867B-ADF1-678C-A1D726EAE2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391" y="106986388"/>
          <a:ext cx="206744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316</xdr:row>
      <xdr:rowOff>39688</xdr:rowOff>
    </xdr:from>
    <xdr:to>
      <xdr:col>6</xdr:col>
      <xdr:colOff>346075</xdr:colOff>
      <xdr:row>316</xdr:row>
      <xdr:rowOff>293688</xdr:rowOff>
    </xdr:to>
    <xdr:pic>
      <xdr:nvPicPr>
        <xdr:cNvPr id="54140" name="Picture 54139">
          <a:extLst>
            <a:ext uri="{FF2B5EF4-FFF2-40B4-BE49-F238E27FC236}">
              <a16:creationId xmlns:a16="http://schemas.microsoft.com/office/drawing/2014/main" id="{DF11F355-39C0-38B6-E9A1-AA6560B0C0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069863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115888</xdr:colOff>
      <xdr:row>317</xdr:row>
      <xdr:rowOff>39688</xdr:rowOff>
    </xdr:from>
    <xdr:to>
      <xdr:col>2</xdr:col>
      <xdr:colOff>255588</xdr:colOff>
      <xdr:row>317</xdr:row>
      <xdr:rowOff>293688</xdr:rowOff>
    </xdr:to>
    <xdr:pic>
      <xdr:nvPicPr>
        <xdr:cNvPr id="54143" name="Picture 54142">
          <a:extLst>
            <a:ext uri="{FF2B5EF4-FFF2-40B4-BE49-F238E27FC236}">
              <a16:creationId xmlns:a16="http://schemas.microsoft.com/office/drawing/2014/main" id="{7C403D07-A5A0-0199-50A3-644FF2B8D5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3913" y="107319763"/>
          <a:ext cx="1397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317</xdr:row>
      <xdr:rowOff>39688</xdr:rowOff>
    </xdr:from>
    <xdr:to>
      <xdr:col>6</xdr:col>
      <xdr:colOff>346075</xdr:colOff>
      <xdr:row>317</xdr:row>
      <xdr:rowOff>293688</xdr:rowOff>
    </xdr:to>
    <xdr:pic>
      <xdr:nvPicPr>
        <xdr:cNvPr id="54146" name="Picture 54145">
          <a:extLst>
            <a:ext uri="{FF2B5EF4-FFF2-40B4-BE49-F238E27FC236}">
              <a16:creationId xmlns:a16="http://schemas.microsoft.com/office/drawing/2014/main" id="{2415292E-88FF-6D52-8A25-5C4299BA4E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073197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318</xdr:row>
      <xdr:rowOff>39688</xdr:rowOff>
    </xdr:from>
    <xdr:to>
      <xdr:col>2</xdr:col>
      <xdr:colOff>312738</xdr:colOff>
      <xdr:row>318</xdr:row>
      <xdr:rowOff>293688</xdr:rowOff>
    </xdr:to>
    <xdr:pic>
      <xdr:nvPicPr>
        <xdr:cNvPr id="54149" name="Picture 54148">
          <a:extLst>
            <a:ext uri="{FF2B5EF4-FFF2-40B4-BE49-F238E27FC236}">
              <a16:creationId xmlns:a16="http://schemas.microsoft.com/office/drawing/2014/main" id="{603C42EC-62E4-37CD-2854-6BA3D9200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076531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318</xdr:row>
      <xdr:rowOff>39688</xdr:rowOff>
    </xdr:from>
    <xdr:to>
      <xdr:col>6</xdr:col>
      <xdr:colOff>346075</xdr:colOff>
      <xdr:row>318</xdr:row>
      <xdr:rowOff>293688</xdr:rowOff>
    </xdr:to>
    <xdr:pic>
      <xdr:nvPicPr>
        <xdr:cNvPr id="54152" name="Picture 54151">
          <a:extLst>
            <a:ext uri="{FF2B5EF4-FFF2-40B4-BE49-F238E27FC236}">
              <a16:creationId xmlns:a16="http://schemas.microsoft.com/office/drawing/2014/main" id="{1A8244A2-D859-667F-AF0E-C2BCFCC434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076531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319</xdr:row>
      <xdr:rowOff>39688</xdr:rowOff>
    </xdr:from>
    <xdr:to>
      <xdr:col>2</xdr:col>
      <xdr:colOff>312738</xdr:colOff>
      <xdr:row>319</xdr:row>
      <xdr:rowOff>293688</xdr:rowOff>
    </xdr:to>
    <xdr:pic>
      <xdr:nvPicPr>
        <xdr:cNvPr id="54155" name="Picture 54154">
          <a:extLst>
            <a:ext uri="{FF2B5EF4-FFF2-40B4-BE49-F238E27FC236}">
              <a16:creationId xmlns:a16="http://schemas.microsoft.com/office/drawing/2014/main" id="{D4CB2985-7006-5C26-6D30-A5B8A8FCBF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079865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319</xdr:row>
      <xdr:rowOff>39688</xdr:rowOff>
    </xdr:from>
    <xdr:to>
      <xdr:col>6</xdr:col>
      <xdr:colOff>346075</xdr:colOff>
      <xdr:row>319</xdr:row>
      <xdr:rowOff>293688</xdr:rowOff>
    </xdr:to>
    <xdr:pic>
      <xdr:nvPicPr>
        <xdr:cNvPr id="54158" name="Picture 54157">
          <a:extLst>
            <a:ext uri="{FF2B5EF4-FFF2-40B4-BE49-F238E27FC236}">
              <a16:creationId xmlns:a16="http://schemas.microsoft.com/office/drawing/2014/main" id="{0002F0D7-FB20-F19E-2FAD-442DD5002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079865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320</xdr:row>
      <xdr:rowOff>39688</xdr:rowOff>
    </xdr:from>
    <xdr:to>
      <xdr:col>2</xdr:col>
      <xdr:colOff>312738</xdr:colOff>
      <xdr:row>320</xdr:row>
      <xdr:rowOff>293688</xdr:rowOff>
    </xdr:to>
    <xdr:pic>
      <xdr:nvPicPr>
        <xdr:cNvPr id="54161" name="Picture 54160">
          <a:extLst>
            <a:ext uri="{FF2B5EF4-FFF2-40B4-BE49-F238E27FC236}">
              <a16:creationId xmlns:a16="http://schemas.microsoft.com/office/drawing/2014/main" id="{839C33E1-3145-3840-86A0-D06DA7DEE0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083198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320</xdr:row>
      <xdr:rowOff>39688</xdr:rowOff>
    </xdr:from>
    <xdr:to>
      <xdr:col>6</xdr:col>
      <xdr:colOff>346075</xdr:colOff>
      <xdr:row>320</xdr:row>
      <xdr:rowOff>293688</xdr:rowOff>
    </xdr:to>
    <xdr:pic>
      <xdr:nvPicPr>
        <xdr:cNvPr id="54164" name="Picture 54163">
          <a:extLst>
            <a:ext uri="{FF2B5EF4-FFF2-40B4-BE49-F238E27FC236}">
              <a16:creationId xmlns:a16="http://schemas.microsoft.com/office/drawing/2014/main" id="{F8861052-C518-EE5C-5C1D-85288B52D0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083198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33572</xdr:colOff>
      <xdr:row>321</xdr:row>
      <xdr:rowOff>39688</xdr:rowOff>
    </xdr:from>
    <xdr:to>
      <xdr:col>2</xdr:col>
      <xdr:colOff>337904</xdr:colOff>
      <xdr:row>321</xdr:row>
      <xdr:rowOff>293688</xdr:rowOff>
    </xdr:to>
    <xdr:pic>
      <xdr:nvPicPr>
        <xdr:cNvPr id="54167" name="Picture 54166">
          <a:extLst>
            <a:ext uri="{FF2B5EF4-FFF2-40B4-BE49-F238E27FC236}">
              <a16:creationId xmlns:a16="http://schemas.microsoft.com/office/drawing/2014/main" id="{DD09CA58-8CAC-F410-768C-1D6BF74B3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597" y="108653263"/>
          <a:ext cx="304332" cy="254000"/>
        </a:xfrm>
        <a:prstGeom prst="rect">
          <a:avLst/>
        </a:prstGeom>
      </xdr:spPr>
    </xdr:pic>
    <xdr:clientData/>
  </xdr:twoCellAnchor>
  <xdr:twoCellAnchor>
    <xdr:from>
      <xdr:col>6</xdr:col>
      <xdr:colOff>108832</xdr:colOff>
      <xdr:row>321</xdr:row>
      <xdr:rowOff>39688</xdr:rowOff>
    </xdr:from>
    <xdr:to>
      <xdr:col>6</xdr:col>
      <xdr:colOff>329318</xdr:colOff>
      <xdr:row>321</xdr:row>
      <xdr:rowOff>293688</xdr:rowOff>
    </xdr:to>
    <xdr:pic>
      <xdr:nvPicPr>
        <xdr:cNvPr id="54170" name="Picture 54169">
          <a:extLst>
            <a:ext uri="{FF2B5EF4-FFF2-40B4-BE49-F238E27FC236}">
              <a16:creationId xmlns:a16="http://schemas.microsoft.com/office/drawing/2014/main" id="{A36FCC05-7BF2-5A29-87E7-838D1238B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6057" y="108653263"/>
          <a:ext cx="220486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322</xdr:row>
      <xdr:rowOff>39688</xdr:rowOff>
    </xdr:from>
    <xdr:to>
      <xdr:col>2</xdr:col>
      <xdr:colOff>312738</xdr:colOff>
      <xdr:row>322</xdr:row>
      <xdr:rowOff>293688</xdr:rowOff>
    </xdr:to>
    <xdr:pic>
      <xdr:nvPicPr>
        <xdr:cNvPr id="54173" name="Picture 54172">
          <a:extLst>
            <a:ext uri="{FF2B5EF4-FFF2-40B4-BE49-F238E27FC236}">
              <a16:creationId xmlns:a16="http://schemas.microsoft.com/office/drawing/2014/main" id="{10B1124A-687D-D028-DC9C-B79BC57286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089866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322</xdr:row>
      <xdr:rowOff>39688</xdr:rowOff>
    </xdr:from>
    <xdr:to>
      <xdr:col>6</xdr:col>
      <xdr:colOff>346075</xdr:colOff>
      <xdr:row>322</xdr:row>
      <xdr:rowOff>293688</xdr:rowOff>
    </xdr:to>
    <xdr:pic>
      <xdr:nvPicPr>
        <xdr:cNvPr id="54176" name="Picture 54175">
          <a:extLst>
            <a:ext uri="{FF2B5EF4-FFF2-40B4-BE49-F238E27FC236}">
              <a16:creationId xmlns:a16="http://schemas.microsoft.com/office/drawing/2014/main" id="{1152BD4E-3481-D168-02C6-16C9B2EAF5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089866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326</xdr:row>
      <xdr:rowOff>39688</xdr:rowOff>
    </xdr:from>
    <xdr:to>
      <xdr:col>2</xdr:col>
      <xdr:colOff>312738</xdr:colOff>
      <xdr:row>326</xdr:row>
      <xdr:rowOff>293688</xdr:rowOff>
    </xdr:to>
    <xdr:pic>
      <xdr:nvPicPr>
        <xdr:cNvPr id="54179" name="Picture 54178">
          <a:extLst>
            <a:ext uri="{FF2B5EF4-FFF2-40B4-BE49-F238E27FC236}">
              <a16:creationId xmlns:a16="http://schemas.microsoft.com/office/drawing/2014/main" id="{E78EB2B3-B3F3-FDA6-9F5E-6780477EF5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03868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66909</xdr:colOff>
      <xdr:row>326</xdr:row>
      <xdr:rowOff>39688</xdr:rowOff>
    </xdr:from>
    <xdr:to>
      <xdr:col>6</xdr:col>
      <xdr:colOff>371241</xdr:colOff>
      <xdr:row>326</xdr:row>
      <xdr:rowOff>293688</xdr:rowOff>
    </xdr:to>
    <xdr:pic>
      <xdr:nvPicPr>
        <xdr:cNvPr id="54182" name="Picture 54181">
          <a:extLst>
            <a:ext uri="{FF2B5EF4-FFF2-40B4-BE49-F238E27FC236}">
              <a16:creationId xmlns:a16="http://schemas.microsoft.com/office/drawing/2014/main" id="{822649BB-F93F-7871-2B34-EEE28055FF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4134" y="110386813"/>
          <a:ext cx="304332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327</xdr:row>
      <xdr:rowOff>39688</xdr:rowOff>
    </xdr:from>
    <xdr:to>
      <xdr:col>2</xdr:col>
      <xdr:colOff>312738</xdr:colOff>
      <xdr:row>327</xdr:row>
      <xdr:rowOff>293688</xdr:rowOff>
    </xdr:to>
    <xdr:pic>
      <xdr:nvPicPr>
        <xdr:cNvPr id="54185" name="Picture 54184">
          <a:extLst>
            <a:ext uri="{FF2B5EF4-FFF2-40B4-BE49-F238E27FC236}">
              <a16:creationId xmlns:a16="http://schemas.microsoft.com/office/drawing/2014/main" id="{757F515D-1131-F79A-A422-9264E53A5A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07201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327</xdr:row>
      <xdr:rowOff>39688</xdr:rowOff>
    </xdr:from>
    <xdr:to>
      <xdr:col>6</xdr:col>
      <xdr:colOff>346075</xdr:colOff>
      <xdr:row>327</xdr:row>
      <xdr:rowOff>293688</xdr:rowOff>
    </xdr:to>
    <xdr:pic>
      <xdr:nvPicPr>
        <xdr:cNvPr id="54188" name="Picture 54187">
          <a:extLst>
            <a:ext uri="{FF2B5EF4-FFF2-40B4-BE49-F238E27FC236}">
              <a16:creationId xmlns:a16="http://schemas.microsoft.com/office/drawing/2014/main" id="{B71E1E78-CE9C-F75C-CF93-DC41DC1A0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107201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328</xdr:row>
      <xdr:rowOff>39688</xdr:rowOff>
    </xdr:from>
    <xdr:to>
      <xdr:col>2</xdr:col>
      <xdr:colOff>312738</xdr:colOff>
      <xdr:row>328</xdr:row>
      <xdr:rowOff>293688</xdr:rowOff>
    </xdr:to>
    <xdr:pic>
      <xdr:nvPicPr>
        <xdr:cNvPr id="54191" name="Picture 54190">
          <a:extLst>
            <a:ext uri="{FF2B5EF4-FFF2-40B4-BE49-F238E27FC236}">
              <a16:creationId xmlns:a16="http://schemas.microsoft.com/office/drawing/2014/main" id="{7DE83EAD-5BC2-FF59-F968-131C2E850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10535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328</xdr:row>
      <xdr:rowOff>39688</xdr:rowOff>
    </xdr:from>
    <xdr:to>
      <xdr:col>6</xdr:col>
      <xdr:colOff>346075</xdr:colOff>
      <xdr:row>328</xdr:row>
      <xdr:rowOff>293688</xdr:rowOff>
    </xdr:to>
    <xdr:pic>
      <xdr:nvPicPr>
        <xdr:cNvPr id="54194" name="Picture 54193">
          <a:extLst>
            <a:ext uri="{FF2B5EF4-FFF2-40B4-BE49-F238E27FC236}">
              <a16:creationId xmlns:a16="http://schemas.microsoft.com/office/drawing/2014/main" id="{340CEB9E-F9A4-B40E-6373-FABA9A7C1E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110535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75495</xdr:colOff>
      <xdr:row>329</xdr:row>
      <xdr:rowOff>39688</xdr:rowOff>
    </xdr:from>
    <xdr:to>
      <xdr:col>2</xdr:col>
      <xdr:colOff>295981</xdr:colOff>
      <xdr:row>329</xdr:row>
      <xdr:rowOff>293688</xdr:rowOff>
    </xdr:to>
    <xdr:pic>
      <xdr:nvPicPr>
        <xdr:cNvPr id="54197" name="Picture 54196">
          <a:extLst>
            <a:ext uri="{FF2B5EF4-FFF2-40B4-BE49-F238E27FC236}">
              <a16:creationId xmlns:a16="http://schemas.microsoft.com/office/drawing/2014/main" id="{08E673BD-2DDE-009D-E2D4-58CD9A7F5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520" y="111386938"/>
          <a:ext cx="220486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329</xdr:row>
      <xdr:rowOff>39688</xdr:rowOff>
    </xdr:from>
    <xdr:to>
      <xdr:col>6</xdr:col>
      <xdr:colOff>346075</xdr:colOff>
      <xdr:row>329</xdr:row>
      <xdr:rowOff>293688</xdr:rowOff>
    </xdr:to>
    <xdr:pic>
      <xdr:nvPicPr>
        <xdr:cNvPr id="54200" name="Picture 54199">
          <a:extLst>
            <a:ext uri="{FF2B5EF4-FFF2-40B4-BE49-F238E27FC236}">
              <a16:creationId xmlns:a16="http://schemas.microsoft.com/office/drawing/2014/main" id="{2B68BEA7-810B-C3AF-4591-FA308F8CE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113869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330</xdr:row>
      <xdr:rowOff>39688</xdr:rowOff>
    </xdr:from>
    <xdr:to>
      <xdr:col>2</xdr:col>
      <xdr:colOff>312738</xdr:colOff>
      <xdr:row>330</xdr:row>
      <xdr:rowOff>293688</xdr:rowOff>
    </xdr:to>
    <xdr:pic>
      <xdr:nvPicPr>
        <xdr:cNvPr id="54203" name="Picture 54202">
          <a:extLst>
            <a:ext uri="{FF2B5EF4-FFF2-40B4-BE49-F238E27FC236}">
              <a16:creationId xmlns:a16="http://schemas.microsoft.com/office/drawing/2014/main" id="{56BBFDD2-00DF-E5D6-2AF9-B5209F6DA7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17203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330</xdr:row>
      <xdr:rowOff>39688</xdr:rowOff>
    </xdr:from>
    <xdr:to>
      <xdr:col>6</xdr:col>
      <xdr:colOff>346075</xdr:colOff>
      <xdr:row>330</xdr:row>
      <xdr:rowOff>293688</xdr:rowOff>
    </xdr:to>
    <xdr:pic>
      <xdr:nvPicPr>
        <xdr:cNvPr id="54206" name="Picture 54205">
          <a:extLst>
            <a:ext uri="{FF2B5EF4-FFF2-40B4-BE49-F238E27FC236}">
              <a16:creationId xmlns:a16="http://schemas.microsoft.com/office/drawing/2014/main" id="{D4CAA854-B0EA-73C5-8FB8-3519E76265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117203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82366</xdr:colOff>
      <xdr:row>331</xdr:row>
      <xdr:rowOff>39688</xdr:rowOff>
    </xdr:from>
    <xdr:to>
      <xdr:col>2</xdr:col>
      <xdr:colOff>289110</xdr:colOff>
      <xdr:row>331</xdr:row>
      <xdr:rowOff>293688</xdr:rowOff>
    </xdr:to>
    <xdr:pic>
      <xdr:nvPicPr>
        <xdr:cNvPr id="54209" name="Picture 54208">
          <a:extLst>
            <a:ext uri="{FF2B5EF4-FFF2-40B4-BE49-F238E27FC236}">
              <a16:creationId xmlns:a16="http://schemas.microsoft.com/office/drawing/2014/main" id="{146804DA-859F-81E8-5204-6A24086E64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391" y="112053688"/>
          <a:ext cx="206744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331</xdr:row>
      <xdr:rowOff>39688</xdr:rowOff>
    </xdr:from>
    <xdr:to>
      <xdr:col>6</xdr:col>
      <xdr:colOff>346075</xdr:colOff>
      <xdr:row>331</xdr:row>
      <xdr:rowOff>293688</xdr:rowOff>
    </xdr:to>
    <xdr:pic>
      <xdr:nvPicPr>
        <xdr:cNvPr id="54212" name="Picture 54211">
          <a:extLst>
            <a:ext uri="{FF2B5EF4-FFF2-40B4-BE49-F238E27FC236}">
              <a16:creationId xmlns:a16="http://schemas.microsoft.com/office/drawing/2014/main" id="{EDF3E36D-F2C9-AA1D-3ACA-B5D73A37AA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120536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115888</xdr:colOff>
      <xdr:row>332</xdr:row>
      <xdr:rowOff>39688</xdr:rowOff>
    </xdr:from>
    <xdr:to>
      <xdr:col>2</xdr:col>
      <xdr:colOff>255588</xdr:colOff>
      <xdr:row>332</xdr:row>
      <xdr:rowOff>293688</xdr:rowOff>
    </xdr:to>
    <xdr:pic>
      <xdr:nvPicPr>
        <xdr:cNvPr id="54215" name="Picture 54214">
          <a:extLst>
            <a:ext uri="{FF2B5EF4-FFF2-40B4-BE49-F238E27FC236}">
              <a16:creationId xmlns:a16="http://schemas.microsoft.com/office/drawing/2014/main" id="{58403444-22B5-5D1D-A8C6-8292996746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3913" y="112387063"/>
          <a:ext cx="1397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332</xdr:row>
      <xdr:rowOff>39688</xdr:rowOff>
    </xdr:from>
    <xdr:to>
      <xdr:col>6</xdr:col>
      <xdr:colOff>346075</xdr:colOff>
      <xdr:row>332</xdr:row>
      <xdr:rowOff>293688</xdr:rowOff>
    </xdr:to>
    <xdr:pic>
      <xdr:nvPicPr>
        <xdr:cNvPr id="54218" name="Picture 54217">
          <a:extLst>
            <a:ext uri="{FF2B5EF4-FFF2-40B4-BE49-F238E27FC236}">
              <a16:creationId xmlns:a16="http://schemas.microsoft.com/office/drawing/2014/main" id="{6ED384EB-00EC-34B0-4A25-F3F43CDAB2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123870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333</xdr:row>
      <xdr:rowOff>39688</xdr:rowOff>
    </xdr:from>
    <xdr:to>
      <xdr:col>2</xdr:col>
      <xdr:colOff>312738</xdr:colOff>
      <xdr:row>333</xdr:row>
      <xdr:rowOff>293688</xdr:rowOff>
    </xdr:to>
    <xdr:pic>
      <xdr:nvPicPr>
        <xdr:cNvPr id="54221" name="Picture 54220">
          <a:extLst>
            <a:ext uri="{FF2B5EF4-FFF2-40B4-BE49-F238E27FC236}">
              <a16:creationId xmlns:a16="http://schemas.microsoft.com/office/drawing/2014/main" id="{176F45A7-5592-A603-CD0F-DF52658398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27204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333</xdr:row>
      <xdr:rowOff>39688</xdr:rowOff>
    </xdr:from>
    <xdr:to>
      <xdr:col>6</xdr:col>
      <xdr:colOff>346075</xdr:colOff>
      <xdr:row>333</xdr:row>
      <xdr:rowOff>293688</xdr:rowOff>
    </xdr:to>
    <xdr:pic>
      <xdr:nvPicPr>
        <xdr:cNvPr id="54224" name="Picture 54223">
          <a:extLst>
            <a:ext uri="{FF2B5EF4-FFF2-40B4-BE49-F238E27FC236}">
              <a16:creationId xmlns:a16="http://schemas.microsoft.com/office/drawing/2014/main" id="{578CA561-7E05-DDC8-6DD2-C09FDD2F7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127204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334</xdr:row>
      <xdr:rowOff>39688</xdr:rowOff>
    </xdr:from>
    <xdr:to>
      <xdr:col>2</xdr:col>
      <xdr:colOff>312738</xdr:colOff>
      <xdr:row>334</xdr:row>
      <xdr:rowOff>293688</xdr:rowOff>
    </xdr:to>
    <xdr:pic>
      <xdr:nvPicPr>
        <xdr:cNvPr id="54227" name="Picture 54226">
          <a:extLst>
            <a:ext uri="{FF2B5EF4-FFF2-40B4-BE49-F238E27FC236}">
              <a16:creationId xmlns:a16="http://schemas.microsoft.com/office/drawing/2014/main" id="{A767C4B4-4899-D707-81DD-E91555B232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30538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334</xdr:row>
      <xdr:rowOff>39688</xdr:rowOff>
    </xdr:from>
    <xdr:to>
      <xdr:col>6</xdr:col>
      <xdr:colOff>346075</xdr:colOff>
      <xdr:row>334</xdr:row>
      <xdr:rowOff>293688</xdr:rowOff>
    </xdr:to>
    <xdr:pic>
      <xdr:nvPicPr>
        <xdr:cNvPr id="54230" name="Picture 54229">
          <a:extLst>
            <a:ext uri="{FF2B5EF4-FFF2-40B4-BE49-F238E27FC236}">
              <a16:creationId xmlns:a16="http://schemas.microsoft.com/office/drawing/2014/main" id="{8C87ABA0-FFC2-A052-88A4-15AF6398F8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130538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335</xdr:row>
      <xdr:rowOff>39688</xdr:rowOff>
    </xdr:from>
    <xdr:to>
      <xdr:col>2</xdr:col>
      <xdr:colOff>312738</xdr:colOff>
      <xdr:row>335</xdr:row>
      <xdr:rowOff>293688</xdr:rowOff>
    </xdr:to>
    <xdr:pic>
      <xdr:nvPicPr>
        <xdr:cNvPr id="54233" name="Picture 54232">
          <a:extLst>
            <a:ext uri="{FF2B5EF4-FFF2-40B4-BE49-F238E27FC236}">
              <a16:creationId xmlns:a16="http://schemas.microsoft.com/office/drawing/2014/main" id="{B84D2E01-C522-B57B-6E3E-887F7984C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33871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335</xdr:row>
      <xdr:rowOff>39688</xdr:rowOff>
    </xdr:from>
    <xdr:to>
      <xdr:col>6</xdr:col>
      <xdr:colOff>346075</xdr:colOff>
      <xdr:row>335</xdr:row>
      <xdr:rowOff>293688</xdr:rowOff>
    </xdr:to>
    <xdr:pic>
      <xdr:nvPicPr>
        <xdr:cNvPr id="54236" name="Picture 54235">
          <a:extLst>
            <a:ext uri="{FF2B5EF4-FFF2-40B4-BE49-F238E27FC236}">
              <a16:creationId xmlns:a16="http://schemas.microsoft.com/office/drawing/2014/main" id="{D0A6E1DC-B413-F5C9-119B-D42A5B5A22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133871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339</xdr:row>
      <xdr:rowOff>39688</xdr:rowOff>
    </xdr:from>
    <xdr:to>
      <xdr:col>2</xdr:col>
      <xdr:colOff>312738</xdr:colOff>
      <xdr:row>339</xdr:row>
      <xdr:rowOff>293688</xdr:rowOff>
    </xdr:to>
    <xdr:pic>
      <xdr:nvPicPr>
        <xdr:cNvPr id="54239" name="Picture 54238">
          <a:extLst>
            <a:ext uri="{FF2B5EF4-FFF2-40B4-BE49-F238E27FC236}">
              <a16:creationId xmlns:a16="http://schemas.microsoft.com/office/drawing/2014/main" id="{24A9B962-2B0E-764E-B6A4-9D58804E89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47873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339</xdr:row>
      <xdr:rowOff>39688</xdr:rowOff>
    </xdr:from>
    <xdr:to>
      <xdr:col>6</xdr:col>
      <xdr:colOff>346075</xdr:colOff>
      <xdr:row>339</xdr:row>
      <xdr:rowOff>293688</xdr:rowOff>
    </xdr:to>
    <xdr:pic>
      <xdr:nvPicPr>
        <xdr:cNvPr id="54242" name="Picture 54241">
          <a:extLst>
            <a:ext uri="{FF2B5EF4-FFF2-40B4-BE49-F238E27FC236}">
              <a16:creationId xmlns:a16="http://schemas.microsoft.com/office/drawing/2014/main" id="{99D0FC7F-634D-972E-86E4-C77D78863C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147873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340</xdr:row>
      <xdr:rowOff>39688</xdr:rowOff>
    </xdr:from>
    <xdr:to>
      <xdr:col>2</xdr:col>
      <xdr:colOff>312738</xdr:colOff>
      <xdr:row>340</xdr:row>
      <xdr:rowOff>293688</xdr:rowOff>
    </xdr:to>
    <xdr:pic>
      <xdr:nvPicPr>
        <xdr:cNvPr id="54245" name="Picture 54244">
          <a:extLst>
            <a:ext uri="{FF2B5EF4-FFF2-40B4-BE49-F238E27FC236}">
              <a16:creationId xmlns:a16="http://schemas.microsoft.com/office/drawing/2014/main" id="{F4892176-20C8-50D7-6713-6E1F5A0013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51207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340</xdr:row>
      <xdr:rowOff>39688</xdr:rowOff>
    </xdr:from>
    <xdr:to>
      <xdr:col>6</xdr:col>
      <xdr:colOff>346075</xdr:colOff>
      <xdr:row>340</xdr:row>
      <xdr:rowOff>293688</xdr:rowOff>
    </xdr:to>
    <xdr:pic>
      <xdr:nvPicPr>
        <xdr:cNvPr id="54248" name="Picture 54247">
          <a:extLst>
            <a:ext uri="{FF2B5EF4-FFF2-40B4-BE49-F238E27FC236}">
              <a16:creationId xmlns:a16="http://schemas.microsoft.com/office/drawing/2014/main" id="{0B61B415-24BC-3FF8-568D-B76F575C5A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151207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341</xdr:row>
      <xdr:rowOff>39688</xdr:rowOff>
    </xdr:from>
    <xdr:to>
      <xdr:col>2</xdr:col>
      <xdr:colOff>312738</xdr:colOff>
      <xdr:row>341</xdr:row>
      <xdr:rowOff>293688</xdr:rowOff>
    </xdr:to>
    <xdr:pic>
      <xdr:nvPicPr>
        <xdr:cNvPr id="54251" name="Picture 54250">
          <a:extLst>
            <a:ext uri="{FF2B5EF4-FFF2-40B4-BE49-F238E27FC236}">
              <a16:creationId xmlns:a16="http://schemas.microsoft.com/office/drawing/2014/main" id="{CBDBA6E3-F0B6-9EFD-6653-1658130841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54541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115703</xdr:colOff>
      <xdr:row>341</xdr:row>
      <xdr:rowOff>39688</xdr:rowOff>
    </xdr:from>
    <xdr:to>
      <xdr:col>6</xdr:col>
      <xdr:colOff>322447</xdr:colOff>
      <xdr:row>341</xdr:row>
      <xdr:rowOff>293688</xdr:rowOff>
    </xdr:to>
    <xdr:pic>
      <xdr:nvPicPr>
        <xdr:cNvPr id="54254" name="Picture 54253">
          <a:extLst>
            <a:ext uri="{FF2B5EF4-FFF2-40B4-BE49-F238E27FC236}">
              <a16:creationId xmlns:a16="http://schemas.microsoft.com/office/drawing/2014/main" id="{0AF92B30-A264-6278-5D1C-A9890F19CE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928" y="115454113"/>
          <a:ext cx="206744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342</xdr:row>
      <xdr:rowOff>39688</xdr:rowOff>
    </xdr:from>
    <xdr:to>
      <xdr:col>2</xdr:col>
      <xdr:colOff>312738</xdr:colOff>
      <xdr:row>342</xdr:row>
      <xdr:rowOff>293688</xdr:rowOff>
    </xdr:to>
    <xdr:pic>
      <xdr:nvPicPr>
        <xdr:cNvPr id="54257" name="Picture 54256">
          <a:extLst>
            <a:ext uri="{FF2B5EF4-FFF2-40B4-BE49-F238E27FC236}">
              <a16:creationId xmlns:a16="http://schemas.microsoft.com/office/drawing/2014/main" id="{F7D71042-401E-79EA-12C2-AE67CD89CA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57874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108832</xdr:colOff>
      <xdr:row>342</xdr:row>
      <xdr:rowOff>39688</xdr:rowOff>
    </xdr:from>
    <xdr:to>
      <xdr:col>6</xdr:col>
      <xdr:colOff>329318</xdr:colOff>
      <xdr:row>342</xdr:row>
      <xdr:rowOff>293688</xdr:rowOff>
    </xdr:to>
    <xdr:pic>
      <xdr:nvPicPr>
        <xdr:cNvPr id="54260" name="Picture 54259">
          <a:extLst>
            <a:ext uri="{FF2B5EF4-FFF2-40B4-BE49-F238E27FC236}">
              <a16:creationId xmlns:a16="http://schemas.microsoft.com/office/drawing/2014/main" id="{0DF49CC8-D93A-0F45-31EC-9EB93F5CC0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6057" y="115787488"/>
          <a:ext cx="220486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343</xdr:row>
      <xdr:rowOff>39688</xdr:rowOff>
    </xdr:from>
    <xdr:to>
      <xdr:col>2</xdr:col>
      <xdr:colOff>312738</xdr:colOff>
      <xdr:row>343</xdr:row>
      <xdr:rowOff>293688</xdr:rowOff>
    </xdr:to>
    <xdr:pic>
      <xdr:nvPicPr>
        <xdr:cNvPr id="54263" name="Picture 54262">
          <a:extLst>
            <a:ext uri="{FF2B5EF4-FFF2-40B4-BE49-F238E27FC236}">
              <a16:creationId xmlns:a16="http://schemas.microsoft.com/office/drawing/2014/main" id="{61418901-ECDB-6D7D-7FEF-C7E7934E66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61208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343</xdr:row>
      <xdr:rowOff>39688</xdr:rowOff>
    </xdr:from>
    <xdr:to>
      <xdr:col>6</xdr:col>
      <xdr:colOff>346075</xdr:colOff>
      <xdr:row>343</xdr:row>
      <xdr:rowOff>293688</xdr:rowOff>
    </xdr:to>
    <xdr:pic>
      <xdr:nvPicPr>
        <xdr:cNvPr id="54266" name="Picture 54265">
          <a:extLst>
            <a:ext uri="{FF2B5EF4-FFF2-40B4-BE49-F238E27FC236}">
              <a16:creationId xmlns:a16="http://schemas.microsoft.com/office/drawing/2014/main" id="{A3A171E3-4AEC-EA61-4CC0-E29B1B540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161208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344</xdr:row>
      <xdr:rowOff>39688</xdr:rowOff>
    </xdr:from>
    <xdr:to>
      <xdr:col>2</xdr:col>
      <xdr:colOff>312738</xdr:colOff>
      <xdr:row>344</xdr:row>
      <xdr:rowOff>293688</xdr:rowOff>
    </xdr:to>
    <xdr:pic>
      <xdr:nvPicPr>
        <xdr:cNvPr id="54269" name="Picture 54268">
          <a:extLst>
            <a:ext uri="{FF2B5EF4-FFF2-40B4-BE49-F238E27FC236}">
              <a16:creationId xmlns:a16="http://schemas.microsoft.com/office/drawing/2014/main" id="{76F26FA9-ED5A-1307-756B-E551EFEE08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64542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344</xdr:row>
      <xdr:rowOff>39688</xdr:rowOff>
    </xdr:from>
    <xdr:to>
      <xdr:col>6</xdr:col>
      <xdr:colOff>346075</xdr:colOff>
      <xdr:row>344</xdr:row>
      <xdr:rowOff>293688</xdr:rowOff>
    </xdr:to>
    <xdr:pic>
      <xdr:nvPicPr>
        <xdr:cNvPr id="54272" name="Picture 54271">
          <a:extLst>
            <a:ext uri="{FF2B5EF4-FFF2-40B4-BE49-F238E27FC236}">
              <a16:creationId xmlns:a16="http://schemas.microsoft.com/office/drawing/2014/main" id="{EB032BD8-9C24-4DBF-C14D-5C25C81B0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164542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345</xdr:row>
      <xdr:rowOff>39688</xdr:rowOff>
    </xdr:from>
    <xdr:to>
      <xdr:col>2</xdr:col>
      <xdr:colOff>312738</xdr:colOff>
      <xdr:row>345</xdr:row>
      <xdr:rowOff>293688</xdr:rowOff>
    </xdr:to>
    <xdr:pic>
      <xdr:nvPicPr>
        <xdr:cNvPr id="54275" name="Picture 54274">
          <a:extLst>
            <a:ext uri="{FF2B5EF4-FFF2-40B4-BE49-F238E27FC236}">
              <a16:creationId xmlns:a16="http://schemas.microsoft.com/office/drawing/2014/main" id="{5FF5ECA7-680D-3824-CED4-561AA7E24D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67876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345</xdr:row>
      <xdr:rowOff>39688</xdr:rowOff>
    </xdr:from>
    <xdr:to>
      <xdr:col>6</xdr:col>
      <xdr:colOff>346075</xdr:colOff>
      <xdr:row>345</xdr:row>
      <xdr:rowOff>293688</xdr:rowOff>
    </xdr:to>
    <xdr:pic>
      <xdr:nvPicPr>
        <xdr:cNvPr id="54278" name="Picture 54277">
          <a:extLst>
            <a:ext uri="{FF2B5EF4-FFF2-40B4-BE49-F238E27FC236}">
              <a16:creationId xmlns:a16="http://schemas.microsoft.com/office/drawing/2014/main" id="{6C78D2D7-F49C-25DD-42CA-848D2EC27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167876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346</xdr:row>
      <xdr:rowOff>39688</xdr:rowOff>
    </xdr:from>
    <xdr:to>
      <xdr:col>2</xdr:col>
      <xdr:colOff>312738</xdr:colOff>
      <xdr:row>346</xdr:row>
      <xdr:rowOff>293688</xdr:rowOff>
    </xdr:to>
    <xdr:pic>
      <xdr:nvPicPr>
        <xdr:cNvPr id="54281" name="Picture 54280">
          <a:extLst>
            <a:ext uri="{FF2B5EF4-FFF2-40B4-BE49-F238E27FC236}">
              <a16:creationId xmlns:a16="http://schemas.microsoft.com/office/drawing/2014/main" id="{3FF4736A-01B3-1CB8-E2D0-8909005E2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71209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346</xdr:row>
      <xdr:rowOff>39688</xdr:rowOff>
    </xdr:from>
    <xdr:to>
      <xdr:col>6</xdr:col>
      <xdr:colOff>346075</xdr:colOff>
      <xdr:row>346</xdr:row>
      <xdr:rowOff>293688</xdr:rowOff>
    </xdr:to>
    <xdr:pic>
      <xdr:nvPicPr>
        <xdr:cNvPr id="54284" name="Picture 54283">
          <a:extLst>
            <a:ext uri="{FF2B5EF4-FFF2-40B4-BE49-F238E27FC236}">
              <a16:creationId xmlns:a16="http://schemas.microsoft.com/office/drawing/2014/main" id="{6C2D618B-6BF2-5E53-32F7-C6D275E59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171209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33572</xdr:colOff>
      <xdr:row>347</xdr:row>
      <xdr:rowOff>39688</xdr:rowOff>
    </xdr:from>
    <xdr:to>
      <xdr:col>2</xdr:col>
      <xdr:colOff>337904</xdr:colOff>
      <xdr:row>347</xdr:row>
      <xdr:rowOff>293688</xdr:rowOff>
    </xdr:to>
    <xdr:pic>
      <xdr:nvPicPr>
        <xdr:cNvPr id="54287" name="Picture 54286">
          <a:extLst>
            <a:ext uri="{FF2B5EF4-FFF2-40B4-BE49-F238E27FC236}">
              <a16:creationId xmlns:a16="http://schemas.microsoft.com/office/drawing/2014/main" id="{00BD584A-1C4F-E05B-2AA1-472AD1BD6F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597" y="117454363"/>
          <a:ext cx="304332" cy="254000"/>
        </a:xfrm>
        <a:prstGeom prst="rect">
          <a:avLst/>
        </a:prstGeom>
      </xdr:spPr>
    </xdr:pic>
    <xdr:clientData/>
  </xdr:twoCellAnchor>
  <xdr:twoCellAnchor>
    <xdr:from>
      <xdr:col>6</xdr:col>
      <xdr:colOff>149225</xdr:colOff>
      <xdr:row>347</xdr:row>
      <xdr:rowOff>39688</xdr:rowOff>
    </xdr:from>
    <xdr:to>
      <xdr:col>6</xdr:col>
      <xdr:colOff>288925</xdr:colOff>
      <xdr:row>347</xdr:row>
      <xdr:rowOff>293688</xdr:rowOff>
    </xdr:to>
    <xdr:pic>
      <xdr:nvPicPr>
        <xdr:cNvPr id="54290" name="Picture 54289">
          <a:extLst>
            <a:ext uri="{FF2B5EF4-FFF2-40B4-BE49-F238E27FC236}">
              <a16:creationId xmlns:a16="http://schemas.microsoft.com/office/drawing/2014/main" id="{D882F8DC-1626-87F4-DCA4-28B3D5A6F8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450" y="117454363"/>
          <a:ext cx="1397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348</xdr:row>
      <xdr:rowOff>39688</xdr:rowOff>
    </xdr:from>
    <xdr:to>
      <xdr:col>2</xdr:col>
      <xdr:colOff>312738</xdr:colOff>
      <xdr:row>348</xdr:row>
      <xdr:rowOff>293688</xdr:rowOff>
    </xdr:to>
    <xdr:pic>
      <xdr:nvPicPr>
        <xdr:cNvPr id="54293" name="Picture 54292">
          <a:extLst>
            <a:ext uri="{FF2B5EF4-FFF2-40B4-BE49-F238E27FC236}">
              <a16:creationId xmlns:a16="http://schemas.microsoft.com/office/drawing/2014/main" id="{16BA2D5D-903C-C200-4903-B8EBAFC23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77877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348</xdr:row>
      <xdr:rowOff>39688</xdr:rowOff>
    </xdr:from>
    <xdr:to>
      <xdr:col>6</xdr:col>
      <xdr:colOff>346075</xdr:colOff>
      <xdr:row>348</xdr:row>
      <xdr:rowOff>293688</xdr:rowOff>
    </xdr:to>
    <xdr:pic>
      <xdr:nvPicPr>
        <xdr:cNvPr id="54296" name="Picture 54295">
          <a:extLst>
            <a:ext uri="{FF2B5EF4-FFF2-40B4-BE49-F238E27FC236}">
              <a16:creationId xmlns:a16="http://schemas.microsoft.com/office/drawing/2014/main" id="{2FB2851F-D395-2D1D-FFC7-567DAED94D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177877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352</xdr:row>
      <xdr:rowOff>39688</xdr:rowOff>
    </xdr:from>
    <xdr:to>
      <xdr:col>2</xdr:col>
      <xdr:colOff>312738</xdr:colOff>
      <xdr:row>352</xdr:row>
      <xdr:rowOff>293688</xdr:rowOff>
    </xdr:to>
    <xdr:pic>
      <xdr:nvPicPr>
        <xdr:cNvPr id="54299" name="Picture 54298">
          <a:extLst>
            <a:ext uri="{FF2B5EF4-FFF2-40B4-BE49-F238E27FC236}">
              <a16:creationId xmlns:a16="http://schemas.microsoft.com/office/drawing/2014/main" id="{407B959A-FC82-4CFD-3BE1-08B129295E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91879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115703</xdr:colOff>
      <xdr:row>352</xdr:row>
      <xdr:rowOff>39688</xdr:rowOff>
    </xdr:from>
    <xdr:to>
      <xdr:col>6</xdr:col>
      <xdr:colOff>322447</xdr:colOff>
      <xdr:row>352</xdr:row>
      <xdr:rowOff>293688</xdr:rowOff>
    </xdr:to>
    <xdr:pic>
      <xdr:nvPicPr>
        <xdr:cNvPr id="54302" name="Picture 54301">
          <a:extLst>
            <a:ext uri="{FF2B5EF4-FFF2-40B4-BE49-F238E27FC236}">
              <a16:creationId xmlns:a16="http://schemas.microsoft.com/office/drawing/2014/main" id="{9090301D-CC32-E421-A95D-FAF282821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928" y="119187913"/>
          <a:ext cx="206744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353</xdr:row>
      <xdr:rowOff>39688</xdr:rowOff>
    </xdr:from>
    <xdr:to>
      <xdr:col>2</xdr:col>
      <xdr:colOff>312738</xdr:colOff>
      <xdr:row>353</xdr:row>
      <xdr:rowOff>293688</xdr:rowOff>
    </xdr:to>
    <xdr:pic>
      <xdr:nvPicPr>
        <xdr:cNvPr id="54305" name="Picture 54304">
          <a:extLst>
            <a:ext uri="{FF2B5EF4-FFF2-40B4-BE49-F238E27FC236}">
              <a16:creationId xmlns:a16="http://schemas.microsoft.com/office/drawing/2014/main" id="{F27EE748-3692-D333-2824-800D34DF4D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95212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353</xdr:row>
      <xdr:rowOff>39688</xdr:rowOff>
    </xdr:from>
    <xdr:to>
      <xdr:col>6</xdr:col>
      <xdr:colOff>346075</xdr:colOff>
      <xdr:row>353</xdr:row>
      <xdr:rowOff>293688</xdr:rowOff>
    </xdr:to>
    <xdr:pic>
      <xdr:nvPicPr>
        <xdr:cNvPr id="54308" name="Picture 54307">
          <a:extLst>
            <a:ext uri="{FF2B5EF4-FFF2-40B4-BE49-F238E27FC236}">
              <a16:creationId xmlns:a16="http://schemas.microsoft.com/office/drawing/2014/main" id="{D0B10014-178D-BE22-3A39-579C04CAD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195212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354</xdr:row>
      <xdr:rowOff>39688</xdr:rowOff>
    </xdr:from>
    <xdr:to>
      <xdr:col>2</xdr:col>
      <xdr:colOff>312738</xdr:colOff>
      <xdr:row>354</xdr:row>
      <xdr:rowOff>293688</xdr:rowOff>
    </xdr:to>
    <xdr:pic>
      <xdr:nvPicPr>
        <xdr:cNvPr id="54311" name="Picture 54310">
          <a:extLst>
            <a:ext uri="{FF2B5EF4-FFF2-40B4-BE49-F238E27FC236}">
              <a16:creationId xmlns:a16="http://schemas.microsoft.com/office/drawing/2014/main" id="{A8AE4BF9-93D3-FD3D-7F5B-F7851B7A3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198546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108832</xdr:colOff>
      <xdr:row>354</xdr:row>
      <xdr:rowOff>39688</xdr:rowOff>
    </xdr:from>
    <xdr:to>
      <xdr:col>6</xdr:col>
      <xdr:colOff>329318</xdr:colOff>
      <xdr:row>354</xdr:row>
      <xdr:rowOff>293688</xdr:rowOff>
    </xdr:to>
    <xdr:pic>
      <xdr:nvPicPr>
        <xdr:cNvPr id="54314" name="Picture 54313">
          <a:extLst>
            <a:ext uri="{FF2B5EF4-FFF2-40B4-BE49-F238E27FC236}">
              <a16:creationId xmlns:a16="http://schemas.microsoft.com/office/drawing/2014/main" id="{564A5B34-6739-716E-44FC-E31878CE2B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6057" y="119854663"/>
          <a:ext cx="220486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355</xdr:row>
      <xdr:rowOff>39688</xdr:rowOff>
    </xdr:from>
    <xdr:to>
      <xdr:col>2</xdr:col>
      <xdr:colOff>312738</xdr:colOff>
      <xdr:row>355</xdr:row>
      <xdr:rowOff>293688</xdr:rowOff>
    </xdr:to>
    <xdr:pic>
      <xdr:nvPicPr>
        <xdr:cNvPr id="54317" name="Picture 54316">
          <a:extLst>
            <a:ext uri="{FF2B5EF4-FFF2-40B4-BE49-F238E27FC236}">
              <a16:creationId xmlns:a16="http://schemas.microsoft.com/office/drawing/2014/main" id="{9831B9F4-C2E1-820D-3A1C-A9643E4DC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01880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355</xdr:row>
      <xdr:rowOff>39688</xdr:rowOff>
    </xdr:from>
    <xdr:to>
      <xdr:col>6</xdr:col>
      <xdr:colOff>346075</xdr:colOff>
      <xdr:row>355</xdr:row>
      <xdr:rowOff>293688</xdr:rowOff>
    </xdr:to>
    <xdr:pic>
      <xdr:nvPicPr>
        <xdr:cNvPr id="54320" name="Picture 54319">
          <a:extLst>
            <a:ext uri="{FF2B5EF4-FFF2-40B4-BE49-F238E27FC236}">
              <a16:creationId xmlns:a16="http://schemas.microsoft.com/office/drawing/2014/main" id="{D3F56CA9-E3E1-33FE-16E7-5498D0715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01880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356</xdr:row>
      <xdr:rowOff>39688</xdr:rowOff>
    </xdr:from>
    <xdr:to>
      <xdr:col>2</xdr:col>
      <xdr:colOff>312738</xdr:colOff>
      <xdr:row>356</xdr:row>
      <xdr:rowOff>293688</xdr:rowOff>
    </xdr:to>
    <xdr:pic>
      <xdr:nvPicPr>
        <xdr:cNvPr id="54323" name="Picture 54322">
          <a:extLst>
            <a:ext uri="{FF2B5EF4-FFF2-40B4-BE49-F238E27FC236}">
              <a16:creationId xmlns:a16="http://schemas.microsoft.com/office/drawing/2014/main" id="{A1D1A40B-0C4B-D1C7-092E-C9A2610742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05214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356</xdr:row>
      <xdr:rowOff>39688</xdr:rowOff>
    </xdr:from>
    <xdr:to>
      <xdr:col>6</xdr:col>
      <xdr:colOff>346075</xdr:colOff>
      <xdr:row>356</xdr:row>
      <xdr:rowOff>293688</xdr:rowOff>
    </xdr:to>
    <xdr:pic>
      <xdr:nvPicPr>
        <xdr:cNvPr id="54326" name="Picture 54325">
          <a:extLst>
            <a:ext uri="{FF2B5EF4-FFF2-40B4-BE49-F238E27FC236}">
              <a16:creationId xmlns:a16="http://schemas.microsoft.com/office/drawing/2014/main" id="{A81CCA38-1C11-A5E5-1492-987D93025C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05214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357</xdr:row>
      <xdr:rowOff>39688</xdr:rowOff>
    </xdr:from>
    <xdr:to>
      <xdr:col>2</xdr:col>
      <xdr:colOff>312738</xdr:colOff>
      <xdr:row>357</xdr:row>
      <xdr:rowOff>293688</xdr:rowOff>
    </xdr:to>
    <xdr:pic>
      <xdr:nvPicPr>
        <xdr:cNvPr id="54329" name="Picture 54328">
          <a:extLst>
            <a:ext uri="{FF2B5EF4-FFF2-40B4-BE49-F238E27FC236}">
              <a16:creationId xmlns:a16="http://schemas.microsoft.com/office/drawing/2014/main" id="{18FD8F20-BBD3-486E-F402-CBDD8FE76E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08547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357</xdr:row>
      <xdr:rowOff>39688</xdr:rowOff>
    </xdr:from>
    <xdr:to>
      <xdr:col>6</xdr:col>
      <xdr:colOff>346075</xdr:colOff>
      <xdr:row>357</xdr:row>
      <xdr:rowOff>293688</xdr:rowOff>
    </xdr:to>
    <xdr:pic>
      <xdr:nvPicPr>
        <xdr:cNvPr id="54332" name="Picture 54331">
          <a:extLst>
            <a:ext uri="{FF2B5EF4-FFF2-40B4-BE49-F238E27FC236}">
              <a16:creationId xmlns:a16="http://schemas.microsoft.com/office/drawing/2014/main" id="{952C4F0B-90CF-89F2-BE70-CB60862E7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08547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358</xdr:row>
      <xdr:rowOff>39688</xdr:rowOff>
    </xdr:from>
    <xdr:to>
      <xdr:col>2</xdr:col>
      <xdr:colOff>312738</xdr:colOff>
      <xdr:row>358</xdr:row>
      <xdr:rowOff>293688</xdr:rowOff>
    </xdr:to>
    <xdr:pic>
      <xdr:nvPicPr>
        <xdr:cNvPr id="54335" name="Picture 54334">
          <a:extLst>
            <a:ext uri="{FF2B5EF4-FFF2-40B4-BE49-F238E27FC236}">
              <a16:creationId xmlns:a16="http://schemas.microsoft.com/office/drawing/2014/main" id="{3FFEA5EB-37FB-E69E-7CB0-D78217804A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11881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149225</xdr:colOff>
      <xdr:row>358</xdr:row>
      <xdr:rowOff>39688</xdr:rowOff>
    </xdr:from>
    <xdr:to>
      <xdr:col>6</xdr:col>
      <xdr:colOff>288925</xdr:colOff>
      <xdr:row>358</xdr:row>
      <xdr:rowOff>293688</xdr:rowOff>
    </xdr:to>
    <xdr:pic>
      <xdr:nvPicPr>
        <xdr:cNvPr id="54338" name="Picture 54337">
          <a:extLst>
            <a:ext uri="{FF2B5EF4-FFF2-40B4-BE49-F238E27FC236}">
              <a16:creationId xmlns:a16="http://schemas.microsoft.com/office/drawing/2014/main" id="{3FDC57E0-D08D-CB39-B6B6-E7857EA043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450" y="121188163"/>
          <a:ext cx="1397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359</xdr:row>
      <xdr:rowOff>39688</xdr:rowOff>
    </xdr:from>
    <xdr:to>
      <xdr:col>2</xdr:col>
      <xdr:colOff>312738</xdr:colOff>
      <xdr:row>359</xdr:row>
      <xdr:rowOff>293688</xdr:rowOff>
    </xdr:to>
    <xdr:pic>
      <xdr:nvPicPr>
        <xdr:cNvPr id="54341" name="Picture 54340">
          <a:extLst>
            <a:ext uri="{FF2B5EF4-FFF2-40B4-BE49-F238E27FC236}">
              <a16:creationId xmlns:a16="http://schemas.microsoft.com/office/drawing/2014/main" id="{0077336A-2DF1-E77D-283F-D12A9A583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15215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359</xdr:row>
      <xdr:rowOff>39688</xdr:rowOff>
    </xdr:from>
    <xdr:to>
      <xdr:col>6</xdr:col>
      <xdr:colOff>346075</xdr:colOff>
      <xdr:row>359</xdr:row>
      <xdr:rowOff>293688</xdr:rowOff>
    </xdr:to>
    <xdr:pic>
      <xdr:nvPicPr>
        <xdr:cNvPr id="54344" name="Picture 54343">
          <a:extLst>
            <a:ext uri="{FF2B5EF4-FFF2-40B4-BE49-F238E27FC236}">
              <a16:creationId xmlns:a16="http://schemas.microsoft.com/office/drawing/2014/main" id="{81BCF967-235E-5232-3279-283BDC9E7B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15215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33572</xdr:colOff>
      <xdr:row>360</xdr:row>
      <xdr:rowOff>39688</xdr:rowOff>
    </xdr:from>
    <xdr:to>
      <xdr:col>2</xdr:col>
      <xdr:colOff>337904</xdr:colOff>
      <xdr:row>360</xdr:row>
      <xdr:rowOff>293688</xdr:rowOff>
    </xdr:to>
    <xdr:pic>
      <xdr:nvPicPr>
        <xdr:cNvPr id="54347" name="Picture 54346">
          <a:extLst>
            <a:ext uri="{FF2B5EF4-FFF2-40B4-BE49-F238E27FC236}">
              <a16:creationId xmlns:a16="http://schemas.microsoft.com/office/drawing/2014/main" id="{0D4955B9-4D0A-879B-0FF0-79DE32E2E3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597" y="121854913"/>
          <a:ext cx="304332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360</xdr:row>
      <xdr:rowOff>39688</xdr:rowOff>
    </xdr:from>
    <xdr:to>
      <xdr:col>6</xdr:col>
      <xdr:colOff>346075</xdr:colOff>
      <xdr:row>360</xdr:row>
      <xdr:rowOff>293688</xdr:rowOff>
    </xdr:to>
    <xdr:pic>
      <xdr:nvPicPr>
        <xdr:cNvPr id="54350" name="Picture 54349">
          <a:extLst>
            <a:ext uri="{FF2B5EF4-FFF2-40B4-BE49-F238E27FC236}">
              <a16:creationId xmlns:a16="http://schemas.microsoft.com/office/drawing/2014/main" id="{5100FA25-BAA0-200C-4617-077FACFF0A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18549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361</xdr:row>
      <xdr:rowOff>39688</xdr:rowOff>
    </xdr:from>
    <xdr:to>
      <xdr:col>2</xdr:col>
      <xdr:colOff>312738</xdr:colOff>
      <xdr:row>361</xdr:row>
      <xdr:rowOff>293688</xdr:rowOff>
    </xdr:to>
    <xdr:pic>
      <xdr:nvPicPr>
        <xdr:cNvPr id="54353" name="Picture 54352">
          <a:extLst>
            <a:ext uri="{FF2B5EF4-FFF2-40B4-BE49-F238E27FC236}">
              <a16:creationId xmlns:a16="http://schemas.microsoft.com/office/drawing/2014/main" id="{F55ED21E-179B-6277-73F7-DFFC760102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21882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361</xdr:row>
      <xdr:rowOff>39688</xdr:rowOff>
    </xdr:from>
    <xdr:to>
      <xdr:col>6</xdr:col>
      <xdr:colOff>346075</xdr:colOff>
      <xdr:row>361</xdr:row>
      <xdr:rowOff>293688</xdr:rowOff>
    </xdr:to>
    <xdr:pic>
      <xdr:nvPicPr>
        <xdr:cNvPr id="54356" name="Picture 54355">
          <a:extLst>
            <a:ext uri="{FF2B5EF4-FFF2-40B4-BE49-F238E27FC236}">
              <a16:creationId xmlns:a16="http://schemas.microsoft.com/office/drawing/2014/main" id="{38AED569-D5A8-8C17-DA26-02BB1FCF7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21882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365</xdr:row>
      <xdr:rowOff>39688</xdr:rowOff>
    </xdr:from>
    <xdr:to>
      <xdr:col>2</xdr:col>
      <xdr:colOff>312738</xdr:colOff>
      <xdr:row>365</xdr:row>
      <xdr:rowOff>293688</xdr:rowOff>
    </xdr:to>
    <xdr:pic>
      <xdr:nvPicPr>
        <xdr:cNvPr id="54359" name="Picture 54358">
          <a:extLst>
            <a:ext uri="{FF2B5EF4-FFF2-40B4-BE49-F238E27FC236}">
              <a16:creationId xmlns:a16="http://schemas.microsoft.com/office/drawing/2014/main" id="{C29DB56F-F6EE-F762-D483-89C30A03F7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35884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365</xdr:row>
      <xdr:rowOff>39688</xdr:rowOff>
    </xdr:from>
    <xdr:to>
      <xdr:col>6</xdr:col>
      <xdr:colOff>346075</xdr:colOff>
      <xdr:row>365</xdr:row>
      <xdr:rowOff>293688</xdr:rowOff>
    </xdr:to>
    <xdr:pic>
      <xdr:nvPicPr>
        <xdr:cNvPr id="54362" name="Picture 54361">
          <a:extLst>
            <a:ext uri="{FF2B5EF4-FFF2-40B4-BE49-F238E27FC236}">
              <a16:creationId xmlns:a16="http://schemas.microsoft.com/office/drawing/2014/main" id="{87818DD4-0115-91AA-1B3A-1803F13AB3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35884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366</xdr:row>
      <xdr:rowOff>39688</xdr:rowOff>
    </xdr:from>
    <xdr:to>
      <xdr:col>2</xdr:col>
      <xdr:colOff>312738</xdr:colOff>
      <xdr:row>366</xdr:row>
      <xdr:rowOff>293688</xdr:rowOff>
    </xdr:to>
    <xdr:pic>
      <xdr:nvPicPr>
        <xdr:cNvPr id="54365" name="Picture 54364">
          <a:extLst>
            <a:ext uri="{FF2B5EF4-FFF2-40B4-BE49-F238E27FC236}">
              <a16:creationId xmlns:a16="http://schemas.microsoft.com/office/drawing/2014/main" id="{DA27EC5A-C571-490A-4477-8E5FACAD00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39218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66909</xdr:colOff>
      <xdr:row>366</xdr:row>
      <xdr:rowOff>39688</xdr:rowOff>
    </xdr:from>
    <xdr:to>
      <xdr:col>6</xdr:col>
      <xdr:colOff>371241</xdr:colOff>
      <xdr:row>366</xdr:row>
      <xdr:rowOff>293688</xdr:rowOff>
    </xdr:to>
    <xdr:pic>
      <xdr:nvPicPr>
        <xdr:cNvPr id="54368" name="Picture 54367">
          <a:extLst>
            <a:ext uri="{FF2B5EF4-FFF2-40B4-BE49-F238E27FC236}">
              <a16:creationId xmlns:a16="http://schemas.microsoft.com/office/drawing/2014/main" id="{6229C820-C9F7-A8C7-B784-2C6CDDF4A0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4134" y="123921838"/>
          <a:ext cx="304332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367</xdr:row>
      <xdr:rowOff>39688</xdr:rowOff>
    </xdr:from>
    <xdr:to>
      <xdr:col>2</xdr:col>
      <xdr:colOff>312738</xdr:colOff>
      <xdr:row>367</xdr:row>
      <xdr:rowOff>293688</xdr:rowOff>
    </xdr:to>
    <xdr:pic>
      <xdr:nvPicPr>
        <xdr:cNvPr id="54371" name="Picture 54370">
          <a:extLst>
            <a:ext uri="{FF2B5EF4-FFF2-40B4-BE49-F238E27FC236}">
              <a16:creationId xmlns:a16="http://schemas.microsoft.com/office/drawing/2014/main" id="{F9DD4C0B-C6F3-355D-5FEA-A70572A772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42552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367</xdr:row>
      <xdr:rowOff>39688</xdr:rowOff>
    </xdr:from>
    <xdr:to>
      <xdr:col>6</xdr:col>
      <xdr:colOff>346075</xdr:colOff>
      <xdr:row>367</xdr:row>
      <xdr:rowOff>293688</xdr:rowOff>
    </xdr:to>
    <xdr:pic>
      <xdr:nvPicPr>
        <xdr:cNvPr id="54374" name="Picture 54373">
          <a:extLst>
            <a:ext uri="{FF2B5EF4-FFF2-40B4-BE49-F238E27FC236}">
              <a16:creationId xmlns:a16="http://schemas.microsoft.com/office/drawing/2014/main" id="{FD1F7729-BC4F-FD4A-01A1-824B5B2E2A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42552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75495</xdr:colOff>
      <xdr:row>368</xdr:row>
      <xdr:rowOff>39688</xdr:rowOff>
    </xdr:from>
    <xdr:to>
      <xdr:col>2</xdr:col>
      <xdr:colOff>295981</xdr:colOff>
      <xdr:row>368</xdr:row>
      <xdr:rowOff>293688</xdr:rowOff>
    </xdr:to>
    <xdr:pic>
      <xdr:nvPicPr>
        <xdr:cNvPr id="54377" name="Picture 54376">
          <a:extLst>
            <a:ext uri="{FF2B5EF4-FFF2-40B4-BE49-F238E27FC236}">
              <a16:creationId xmlns:a16="http://schemas.microsoft.com/office/drawing/2014/main" id="{D17068DC-9BBC-6382-B0A2-F98BA02D4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520" y="124588588"/>
          <a:ext cx="220486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368</xdr:row>
      <xdr:rowOff>39688</xdr:rowOff>
    </xdr:from>
    <xdr:to>
      <xdr:col>6</xdr:col>
      <xdr:colOff>346075</xdr:colOff>
      <xdr:row>368</xdr:row>
      <xdr:rowOff>293688</xdr:rowOff>
    </xdr:to>
    <xdr:pic>
      <xdr:nvPicPr>
        <xdr:cNvPr id="54380" name="Picture 54379">
          <a:extLst>
            <a:ext uri="{FF2B5EF4-FFF2-40B4-BE49-F238E27FC236}">
              <a16:creationId xmlns:a16="http://schemas.microsoft.com/office/drawing/2014/main" id="{E1711D54-ABE2-8E88-7348-C41950AA2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45885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369</xdr:row>
      <xdr:rowOff>39688</xdr:rowOff>
    </xdr:from>
    <xdr:to>
      <xdr:col>2</xdr:col>
      <xdr:colOff>312738</xdr:colOff>
      <xdr:row>369</xdr:row>
      <xdr:rowOff>293688</xdr:rowOff>
    </xdr:to>
    <xdr:pic>
      <xdr:nvPicPr>
        <xdr:cNvPr id="54383" name="Picture 54382">
          <a:extLst>
            <a:ext uri="{FF2B5EF4-FFF2-40B4-BE49-F238E27FC236}">
              <a16:creationId xmlns:a16="http://schemas.microsoft.com/office/drawing/2014/main" id="{61E0A55B-95B3-B727-E1D6-FCEE61BF7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49219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369</xdr:row>
      <xdr:rowOff>39688</xdr:rowOff>
    </xdr:from>
    <xdr:to>
      <xdr:col>6</xdr:col>
      <xdr:colOff>346075</xdr:colOff>
      <xdr:row>369</xdr:row>
      <xdr:rowOff>293688</xdr:rowOff>
    </xdr:to>
    <xdr:pic>
      <xdr:nvPicPr>
        <xdr:cNvPr id="54386" name="Picture 54385">
          <a:extLst>
            <a:ext uri="{FF2B5EF4-FFF2-40B4-BE49-F238E27FC236}">
              <a16:creationId xmlns:a16="http://schemas.microsoft.com/office/drawing/2014/main" id="{B713F085-2252-DDB4-C40E-CB5AE599EC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49219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82366</xdr:colOff>
      <xdr:row>370</xdr:row>
      <xdr:rowOff>39688</xdr:rowOff>
    </xdr:from>
    <xdr:to>
      <xdr:col>2</xdr:col>
      <xdr:colOff>289110</xdr:colOff>
      <xdr:row>370</xdr:row>
      <xdr:rowOff>293688</xdr:rowOff>
    </xdr:to>
    <xdr:pic>
      <xdr:nvPicPr>
        <xdr:cNvPr id="54389" name="Picture 54388">
          <a:extLst>
            <a:ext uri="{FF2B5EF4-FFF2-40B4-BE49-F238E27FC236}">
              <a16:creationId xmlns:a16="http://schemas.microsoft.com/office/drawing/2014/main" id="{F6C39933-EB72-7174-A120-D13E86687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391" y="125255338"/>
          <a:ext cx="206744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370</xdr:row>
      <xdr:rowOff>39688</xdr:rowOff>
    </xdr:from>
    <xdr:to>
      <xdr:col>6</xdr:col>
      <xdr:colOff>346075</xdr:colOff>
      <xdr:row>370</xdr:row>
      <xdr:rowOff>293688</xdr:rowOff>
    </xdr:to>
    <xdr:pic>
      <xdr:nvPicPr>
        <xdr:cNvPr id="54392" name="Picture 54391">
          <a:extLst>
            <a:ext uri="{FF2B5EF4-FFF2-40B4-BE49-F238E27FC236}">
              <a16:creationId xmlns:a16="http://schemas.microsoft.com/office/drawing/2014/main" id="{92FD9EE6-9AA3-4072-E04A-B8972FF8D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52553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115888</xdr:colOff>
      <xdr:row>371</xdr:row>
      <xdr:rowOff>39688</xdr:rowOff>
    </xdr:from>
    <xdr:to>
      <xdr:col>2</xdr:col>
      <xdr:colOff>255588</xdr:colOff>
      <xdr:row>371</xdr:row>
      <xdr:rowOff>293688</xdr:rowOff>
    </xdr:to>
    <xdr:pic>
      <xdr:nvPicPr>
        <xdr:cNvPr id="54395" name="Picture 54394">
          <a:extLst>
            <a:ext uri="{FF2B5EF4-FFF2-40B4-BE49-F238E27FC236}">
              <a16:creationId xmlns:a16="http://schemas.microsoft.com/office/drawing/2014/main" id="{9723B2F8-E78D-8E87-F926-F971CBC077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3913" y="125588713"/>
          <a:ext cx="1397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371</xdr:row>
      <xdr:rowOff>39688</xdr:rowOff>
    </xdr:from>
    <xdr:to>
      <xdr:col>6</xdr:col>
      <xdr:colOff>346075</xdr:colOff>
      <xdr:row>371</xdr:row>
      <xdr:rowOff>293688</xdr:rowOff>
    </xdr:to>
    <xdr:pic>
      <xdr:nvPicPr>
        <xdr:cNvPr id="54398" name="Picture 54397">
          <a:extLst>
            <a:ext uri="{FF2B5EF4-FFF2-40B4-BE49-F238E27FC236}">
              <a16:creationId xmlns:a16="http://schemas.microsoft.com/office/drawing/2014/main" id="{832FFE4C-6FE7-0ABB-5DB2-8C13B27549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55887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372</xdr:row>
      <xdr:rowOff>39688</xdr:rowOff>
    </xdr:from>
    <xdr:to>
      <xdr:col>2</xdr:col>
      <xdr:colOff>312738</xdr:colOff>
      <xdr:row>372</xdr:row>
      <xdr:rowOff>293688</xdr:rowOff>
    </xdr:to>
    <xdr:pic>
      <xdr:nvPicPr>
        <xdr:cNvPr id="54401" name="Picture 54400">
          <a:extLst>
            <a:ext uri="{FF2B5EF4-FFF2-40B4-BE49-F238E27FC236}">
              <a16:creationId xmlns:a16="http://schemas.microsoft.com/office/drawing/2014/main" id="{B1418387-E7E3-0DFC-2FC8-5064CF4CD2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59220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372</xdr:row>
      <xdr:rowOff>39688</xdr:rowOff>
    </xdr:from>
    <xdr:to>
      <xdr:col>6</xdr:col>
      <xdr:colOff>346075</xdr:colOff>
      <xdr:row>372</xdr:row>
      <xdr:rowOff>293688</xdr:rowOff>
    </xdr:to>
    <xdr:pic>
      <xdr:nvPicPr>
        <xdr:cNvPr id="54404" name="Picture 54403">
          <a:extLst>
            <a:ext uri="{FF2B5EF4-FFF2-40B4-BE49-F238E27FC236}">
              <a16:creationId xmlns:a16="http://schemas.microsoft.com/office/drawing/2014/main" id="{04B0F4DF-236C-D796-31BE-DFB2E08648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59220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373</xdr:row>
      <xdr:rowOff>39688</xdr:rowOff>
    </xdr:from>
    <xdr:to>
      <xdr:col>2</xdr:col>
      <xdr:colOff>312738</xdr:colOff>
      <xdr:row>373</xdr:row>
      <xdr:rowOff>293688</xdr:rowOff>
    </xdr:to>
    <xdr:pic>
      <xdr:nvPicPr>
        <xdr:cNvPr id="54407" name="Picture 54406">
          <a:extLst>
            <a:ext uri="{FF2B5EF4-FFF2-40B4-BE49-F238E27FC236}">
              <a16:creationId xmlns:a16="http://schemas.microsoft.com/office/drawing/2014/main" id="{28B0F5A1-4331-5189-2F0D-41E288E18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62554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373</xdr:row>
      <xdr:rowOff>39688</xdr:rowOff>
    </xdr:from>
    <xdr:to>
      <xdr:col>6</xdr:col>
      <xdr:colOff>346075</xdr:colOff>
      <xdr:row>373</xdr:row>
      <xdr:rowOff>293688</xdr:rowOff>
    </xdr:to>
    <xdr:pic>
      <xdr:nvPicPr>
        <xdr:cNvPr id="54410" name="Picture 54409">
          <a:extLst>
            <a:ext uri="{FF2B5EF4-FFF2-40B4-BE49-F238E27FC236}">
              <a16:creationId xmlns:a16="http://schemas.microsoft.com/office/drawing/2014/main" id="{93ED77E8-21BF-5A21-A3F9-E2B7481EBA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62554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374</xdr:row>
      <xdr:rowOff>39688</xdr:rowOff>
    </xdr:from>
    <xdr:to>
      <xdr:col>2</xdr:col>
      <xdr:colOff>312738</xdr:colOff>
      <xdr:row>374</xdr:row>
      <xdr:rowOff>293688</xdr:rowOff>
    </xdr:to>
    <xdr:pic>
      <xdr:nvPicPr>
        <xdr:cNvPr id="54413" name="Picture 54412">
          <a:extLst>
            <a:ext uri="{FF2B5EF4-FFF2-40B4-BE49-F238E27FC236}">
              <a16:creationId xmlns:a16="http://schemas.microsoft.com/office/drawing/2014/main" id="{8DBC781D-D9FB-FF37-8358-4ED9CD7E45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65888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374</xdr:row>
      <xdr:rowOff>39688</xdr:rowOff>
    </xdr:from>
    <xdr:to>
      <xdr:col>6</xdr:col>
      <xdr:colOff>346075</xdr:colOff>
      <xdr:row>374</xdr:row>
      <xdr:rowOff>293688</xdr:rowOff>
    </xdr:to>
    <xdr:pic>
      <xdr:nvPicPr>
        <xdr:cNvPr id="54416" name="Picture 54415">
          <a:extLst>
            <a:ext uri="{FF2B5EF4-FFF2-40B4-BE49-F238E27FC236}">
              <a16:creationId xmlns:a16="http://schemas.microsoft.com/office/drawing/2014/main" id="{6837D214-8F62-C090-CB40-514C0046D9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65888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378</xdr:row>
      <xdr:rowOff>39688</xdr:rowOff>
    </xdr:from>
    <xdr:to>
      <xdr:col>2</xdr:col>
      <xdr:colOff>312738</xdr:colOff>
      <xdr:row>378</xdr:row>
      <xdr:rowOff>293688</xdr:rowOff>
    </xdr:to>
    <xdr:pic>
      <xdr:nvPicPr>
        <xdr:cNvPr id="54419" name="Picture 54418">
          <a:extLst>
            <a:ext uri="{FF2B5EF4-FFF2-40B4-BE49-F238E27FC236}">
              <a16:creationId xmlns:a16="http://schemas.microsoft.com/office/drawing/2014/main" id="{A420DCFF-848D-A0A2-3C8D-0D80E63288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79890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378</xdr:row>
      <xdr:rowOff>39688</xdr:rowOff>
    </xdr:from>
    <xdr:to>
      <xdr:col>6</xdr:col>
      <xdr:colOff>346075</xdr:colOff>
      <xdr:row>378</xdr:row>
      <xdr:rowOff>293688</xdr:rowOff>
    </xdr:to>
    <xdr:pic>
      <xdr:nvPicPr>
        <xdr:cNvPr id="54422" name="Picture 54421">
          <a:extLst>
            <a:ext uri="{FF2B5EF4-FFF2-40B4-BE49-F238E27FC236}">
              <a16:creationId xmlns:a16="http://schemas.microsoft.com/office/drawing/2014/main" id="{08FC91D4-155D-3186-4480-E11FB906B4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79890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379</xdr:row>
      <xdr:rowOff>39688</xdr:rowOff>
    </xdr:from>
    <xdr:to>
      <xdr:col>2</xdr:col>
      <xdr:colOff>312738</xdr:colOff>
      <xdr:row>379</xdr:row>
      <xdr:rowOff>293688</xdr:rowOff>
    </xdr:to>
    <xdr:pic>
      <xdr:nvPicPr>
        <xdr:cNvPr id="54425" name="Picture 54424">
          <a:extLst>
            <a:ext uri="{FF2B5EF4-FFF2-40B4-BE49-F238E27FC236}">
              <a16:creationId xmlns:a16="http://schemas.microsoft.com/office/drawing/2014/main" id="{F3A88EA2-EB7F-E437-2A36-0D6282970E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83223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379</xdr:row>
      <xdr:rowOff>39688</xdr:rowOff>
    </xdr:from>
    <xdr:to>
      <xdr:col>6</xdr:col>
      <xdr:colOff>346075</xdr:colOff>
      <xdr:row>379</xdr:row>
      <xdr:rowOff>293688</xdr:rowOff>
    </xdr:to>
    <xdr:pic>
      <xdr:nvPicPr>
        <xdr:cNvPr id="54428" name="Picture 54427">
          <a:extLst>
            <a:ext uri="{FF2B5EF4-FFF2-40B4-BE49-F238E27FC236}">
              <a16:creationId xmlns:a16="http://schemas.microsoft.com/office/drawing/2014/main" id="{4F85EC98-EBC9-CD16-EC12-85AE967B45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83223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380</xdr:row>
      <xdr:rowOff>39688</xdr:rowOff>
    </xdr:from>
    <xdr:to>
      <xdr:col>2</xdr:col>
      <xdr:colOff>312738</xdr:colOff>
      <xdr:row>380</xdr:row>
      <xdr:rowOff>293688</xdr:rowOff>
    </xdr:to>
    <xdr:pic>
      <xdr:nvPicPr>
        <xdr:cNvPr id="54431" name="Picture 54430">
          <a:extLst>
            <a:ext uri="{FF2B5EF4-FFF2-40B4-BE49-F238E27FC236}">
              <a16:creationId xmlns:a16="http://schemas.microsoft.com/office/drawing/2014/main" id="{E72A025C-4A77-5C4C-8978-D0F516582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86557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380</xdr:row>
      <xdr:rowOff>39688</xdr:rowOff>
    </xdr:from>
    <xdr:to>
      <xdr:col>6</xdr:col>
      <xdr:colOff>346075</xdr:colOff>
      <xdr:row>380</xdr:row>
      <xdr:rowOff>293688</xdr:rowOff>
    </xdr:to>
    <xdr:pic>
      <xdr:nvPicPr>
        <xdr:cNvPr id="54434" name="Picture 54433">
          <a:extLst>
            <a:ext uri="{FF2B5EF4-FFF2-40B4-BE49-F238E27FC236}">
              <a16:creationId xmlns:a16="http://schemas.microsoft.com/office/drawing/2014/main" id="{3C2F9262-1739-D093-C7C5-9F6C2B1586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86557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381</xdr:row>
      <xdr:rowOff>39688</xdr:rowOff>
    </xdr:from>
    <xdr:to>
      <xdr:col>2</xdr:col>
      <xdr:colOff>312738</xdr:colOff>
      <xdr:row>381</xdr:row>
      <xdr:rowOff>293688</xdr:rowOff>
    </xdr:to>
    <xdr:pic>
      <xdr:nvPicPr>
        <xdr:cNvPr id="54437" name="Picture 54436">
          <a:extLst>
            <a:ext uri="{FF2B5EF4-FFF2-40B4-BE49-F238E27FC236}">
              <a16:creationId xmlns:a16="http://schemas.microsoft.com/office/drawing/2014/main" id="{8BCDC12C-9ED1-ED2C-0170-1A31BB6CE6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89891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108832</xdr:colOff>
      <xdr:row>381</xdr:row>
      <xdr:rowOff>39688</xdr:rowOff>
    </xdr:from>
    <xdr:to>
      <xdr:col>6</xdr:col>
      <xdr:colOff>329318</xdr:colOff>
      <xdr:row>381</xdr:row>
      <xdr:rowOff>293688</xdr:rowOff>
    </xdr:to>
    <xdr:pic>
      <xdr:nvPicPr>
        <xdr:cNvPr id="54440" name="Picture 54439">
          <a:extLst>
            <a:ext uri="{FF2B5EF4-FFF2-40B4-BE49-F238E27FC236}">
              <a16:creationId xmlns:a16="http://schemas.microsoft.com/office/drawing/2014/main" id="{E40E23CF-8D79-BE14-ADA1-B46407DFD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6057" y="128989138"/>
          <a:ext cx="220486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382</xdr:row>
      <xdr:rowOff>39688</xdr:rowOff>
    </xdr:from>
    <xdr:to>
      <xdr:col>2</xdr:col>
      <xdr:colOff>312738</xdr:colOff>
      <xdr:row>382</xdr:row>
      <xdr:rowOff>293688</xdr:rowOff>
    </xdr:to>
    <xdr:pic>
      <xdr:nvPicPr>
        <xdr:cNvPr id="54443" name="Picture 54442">
          <a:extLst>
            <a:ext uri="{FF2B5EF4-FFF2-40B4-BE49-F238E27FC236}">
              <a16:creationId xmlns:a16="http://schemas.microsoft.com/office/drawing/2014/main" id="{59B98AF6-1FD6-6321-DC28-EB26C74B9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93225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382</xdr:row>
      <xdr:rowOff>39688</xdr:rowOff>
    </xdr:from>
    <xdr:to>
      <xdr:col>6</xdr:col>
      <xdr:colOff>346075</xdr:colOff>
      <xdr:row>382</xdr:row>
      <xdr:rowOff>293688</xdr:rowOff>
    </xdr:to>
    <xdr:pic>
      <xdr:nvPicPr>
        <xdr:cNvPr id="54446" name="Picture 54445">
          <a:extLst>
            <a:ext uri="{FF2B5EF4-FFF2-40B4-BE49-F238E27FC236}">
              <a16:creationId xmlns:a16="http://schemas.microsoft.com/office/drawing/2014/main" id="{855AF512-BAE9-58E5-F25D-2206D57EDB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93225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82366</xdr:colOff>
      <xdr:row>383</xdr:row>
      <xdr:rowOff>39688</xdr:rowOff>
    </xdr:from>
    <xdr:to>
      <xdr:col>2</xdr:col>
      <xdr:colOff>289110</xdr:colOff>
      <xdr:row>383</xdr:row>
      <xdr:rowOff>293688</xdr:rowOff>
    </xdr:to>
    <xdr:pic>
      <xdr:nvPicPr>
        <xdr:cNvPr id="54449" name="Picture 54448">
          <a:extLst>
            <a:ext uri="{FF2B5EF4-FFF2-40B4-BE49-F238E27FC236}">
              <a16:creationId xmlns:a16="http://schemas.microsoft.com/office/drawing/2014/main" id="{95FB81A6-C146-71B3-1E86-1AC2F307A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391" y="129655888"/>
          <a:ext cx="206744" cy="254000"/>
        </a:xfrm>
        <a:prstGeom prst="rect">
          <a:avLst/>
        </a:prstGeom>
      </xdr:spPr>
    </xdr:pic>
    <xdr:clientData/>
  </xdr:twoCellAnchor>
  <xdr:twoCellAnchor>
    <xdr:from>
      <xdr:col>6</xdr:col>
      <xdr:colOff>66909</xdr:colOff>
      <xdr:row>383</xdr:row>
      <xdr:rowOff>39688</xdr:rowOff>
    </xdr:from>
    <xdr:to>
      <xdr:col>6</xdr:col>
      <xdr:colOff>371241</xdr:colOff>
      <xdr:row>383</xdr:row>
      <xdr:rowOff>293688</xdr:rowOff>
    </xdr:to>
    <xdr:pic>
      <xdr:nvPicPr>
        <xdr:cNvPr id="54452" name="Picture 54451">
          <a:extLst>
            <a:ext uri="{FF2B5EF4-FFF2-40B4-BE49-F238E27FC236}">
              <a16:creationId xmlns:a16="http://schemas.microsoft.com/office/drawing/2014/main" id="{E908ADCE-86AB-512D-6709-005FFE490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4134" y="129655888"/>
          <a:ext cx="304332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384</xdr:row>
      <xdr:rowOff>39688</xdr:rowOff>
    </xdr:from>
    <xdr:to>
      <xdr:col>2</xdr:col>
      <xdr:colOff>312738</xdr:colOff>
      <xdr:row>384</xdr:row>
      <xdr:rowOff>293688</xdr:rowOff>
    </xdr:to>
    <xdr:pic>
      <xdr:nvPicPr>
        <xdr:cNvPr id="54455" name="Picture 54454">
          <a:extLst>
            <a:ext uri="{FF2B5EF4-FFF2-40B4-BE49-F238E27FC236}">
              <a16:creationId xmlns:a16="http://schemas.microsoft.com/office/drawing/2014/main" id="{6A30392D-0EBC-E57F-3944-E7E61FB5B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299892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384</xdr:row>
      <xdr:rowOff>39688</xdr:rowOff>
    </xdr:from>
    <xdr:to>
      <xdr:col>6</xdr:col>
      <xdr:colOff>346075</xdr:colOff>
      <xdr:row>384</xdr:row>
      <xdr:rowOff>293688</xdr:rowOff>
    </xdr:to>
    <xdr:pic>
      <xdr:nvPicPr>
        <xdr:cNvPr id="54458" name="Picture 54457">
          <a:extLst>
            <a:ext uri="{FF2B5EF4-FFF2-40B4-BE49-F238E27FC236}">
              <a16:creationId xmlns:a16="http://schemas.microsoft.com/office/drawing/2014/main" id="{5784E4ED-6286-CB0D-B38F-4D8DCD7052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299892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385</xdr:row>
      <xdr:rowOff>39688</xdr:rowOff>
    </xdr:from>
    <xdr:to>
      <xdr:col>2</xdr:col>
      <xdr:colOff>312738</xdr:colOff>
      <xdr:row>385</xdr:row>
      <xdr:rowOff>293688</xdr:rowOff>
    </xdr:to>
    <xdr:pic>
      <xdr:nvPicPr>
        <xdr:cNvPr id="54461" name="Picture 54460">
          <a:extLst>
            <a:ext uri="{FF2B5EF4-FFF2-40B4-BE49-F238E27FC236}">
              <a16:creationId xmlns:a16="http://schemas.microsoft.com/office/drawing/2014/main" id="{37AE2BCE-8542-922C-D03F-5DEA7A9E7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03226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385</xdr:row>
      <xdr:rowOff>39688</xdr:rowOff>
    </xdr:from>
    <xdr:to>
      <xdr:col>6</xdr:col>
      <xdr:colOff>346075</xdr:colOff>
      <xdr:row>385</xdr:row>
      <xdr:rowOff>293688</xdr:rowOff>
    </xdr:to>
    <xdr:pic>
      <xdr:nvPicPr>
        <xdr:cNvPr id="54464" name="Picture 54463">
          <a:extLst>
            <a:ext uri="{FF2B5EF4-FFF2-40B4-BE49-F238E27FC236}">
              <a16:creationId xmlns:a16="http://schemas.microsoft.com/office/drawing/2014/main" id="{132A4C8D-7899-0F24-081A-A7A192DA24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03226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386</xdr:row>
      <xdr:rowOff>39688</xdr:rowOff>
    </xdr:from>
    <xdr:to>
      <xdr:col>2</xdr:col>
      <xdr:colOff>312738</xdr:colOff>
      <xdr:row>386</xdr:row>
      <xdr:rowOff>293688</xdr:rowOff>
    </xdr:to>
    <xdr:pic>
      <xdr:nvPicPr>
        <xdr:cNvPr id="54467" name="Picture 54466">
          <a:extLst>
            <a:ext uri="{FF2B5EF4-FFF2-40B4-BE49-F238E27FC236}">
              <a16:creationId xmlns:a16="http://schemas.microsoft.com/office/drawing/2014/main" id="{D04FA5F5-230E-4414-5E52-DC9882D11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06560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386</xdr:row>
      <xdr:rowOff>39688</xdr:rowOff>
    </xdr:from>
    <xdr:to>
      <xdr:col>6</xdr:col>
      <xdr:colOff>346075</xdr:colOff>
      <xdr:row>386</xdr:row>
      <xdr:rowOff>293688</xdr:rowOff>
    </xdr:to>
    <xdr:pic>
      <xdr:nvPicPr>
        <xdr:cNvPr id="54470" name="Picture 54469">
          <a:extLst>
            <a:ext uri="{FF2B5EF4-FFF2-40B4-BE49-F238E27FC236}">
              <a16:creationId xmlns:a16="http://schemas.microsoft.com/office/drawing/2014/main" id="{497753AE-05E7-20B3-E1D6-43BE0BF28B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06560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387</xdr:row>
      <xdr:rowOff>39688</xdr:rowOff>
    </xdr:from>
    <xdr:to>
      <xdr:col>2</xdr:col>
      <xdr:colOff>312738</xdr:colOff>
      <xdr:row>387</xdr:row>
      <xdr:rowOff>293688</xdr:rowOff>
    </xdr:to>
    <xdr:pic>
      <xdr:nvPicPr>
        <xdr:cNvPr id="54473" name="Picture 54472">
          <a:extLst>
            <a:ext uri="{FF2B5EF4-FFF2-40B4-BE49-F238E27FC236}">
              <a16:creationId xmlns:a16="http://schemas.microsoft.com/office/drawing/2014/main" id="{3BC8C39A-7067-F799-3EAA-AC37CD050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09893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149225</xdr:colOff>
      <xdr:row>387</xdr:row>
      <xdr:rowOff>39688</xdr:rowOff>
    </xdr:from>
    <xdr:to>
      <xdr:col>6</xdr:col>
      <xdr:colOff>288925</xdr:colOff>
      <xdr:row>387</xdr:row>
      <xdr:rowOff>293688</xdr:rowOff>
    </xdr:to>
    <xdr:pic>
      <xdr:nvPicPr>
        <xdr:cNvPr id="54476" name="Picture 54475">
          <a:extLst>
            <a:ext uri="{FF2B5EF4-FFF2-40B4-BE49-F238E27FC236}">
              <a16:creationId xmlns:a16="http://schemas.microsoft.com/office/drawing/2014/main" id="{5358E9E6-FE6B-9B0F-D7CB-57BE19765D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450" y="130989388"/>
          <a:ext cx="1397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391</xdr:row>
      <xdr:rowOff>39688</xdr:rowOff>
    </xdr:from>
    <xdr:to>
      <xdr:col>2</xdr:col>
      <xdr:colOff>312738</xdr:colOff>
      <xdr:row>391</xdr:row>
      <xdr:rowOff>293688</xdr:rowOff>
    </xdr:to>
    <xdr:pic>
      <xdr:nvPicPr>
        <xdr:cNvPr id="54479" name="Picture 54478">
          <a:extLst>
            <a:ext uri="{FF2B5EF4-FFF2-40B4-BE49-F238E27FC236}">
              <a16:creationId xmlns:a16="http://schemas.microsoft.com/office/drawing/2014/main" id="{81F25C87-46C4-8751-7303-0E065203EF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23895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391</xdr:row>
      <xdr:rowOff>39688</xdr:rowOff>
    </xdr:from>
    <xdr:to>
      <xdr:col>6</xdr:col>
      <xdr:colOff>346075</xdr:colOff>
      <xdr:row>391</xdr:row>
      <xdr:rowOff>293688</xdr:rowOff>
    </xdr:to>
    <xdr:pic>
      <xdr:nvPicPr>
        <xdr:cNvPr id="54482" name="Picture 54481">
          <a:extLst>
            <a:ext uri="{FF2B5EF4-FFF2-40B4-BE49-F238E27FC236}">
              <a16:creationId xmlns:a16="http://schemas.microsoft.com/office/drawing/2014/main" id="{DE8B0AB9-A94D-839E-90E0-9647E21E0D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23895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392</xdr:row>
      <xdr:rowOff>39688</xdr:rowOff>
    </xdr:from>
    <xdr:to>
      <xdr:col>2</xdr:col>
      <xdr:colOff>312738</xdr:colOff>
      <xdr:row>392</xdr:row>
      <xdr:rowOff>293688</xdr:rowOff>
    </xdr:to>
    <xdr:pic>
      <xdr:nvPicPr>
        <xdr:cNvPr id="54485" name="Picture 54484">
          <a:extLst>
            <a:ext uri="{FF2B5EF4-FFF2-40B4-BE49-F238E27FC236}">
              <a16:creationId xmlns:a16="http://schemas.microsoft.com/office/drawing/2014/main" id="{FFAB99CA-401D-E0BA-5BB8-201D12D654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27229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392</xdr:row>
      <xdr:rowOff>39688</xdr:rowOff>
    </xdr:from>
    <xdr:to>
      <xdr:col>6</xdr:col>
      <xdr:colOff>346075</xdr:colOff>
      <xdr:row>392</xdr:row>
      <xdr:rowOff>293688</xdr:rowOff>
    </xdr:to>
    <xdr:pic>
      <xdr:nvPicPr>
        <xdr:cNvPr id="54488" name="Picture 54487">
          <a:extLst>
            <a:ext uri="{FF2B5EF4-FFF2-40B4-BE49-F238E27FC236}">
              <a16:creationId xmlns:a16="http://schemas.microsoft.com/office/drawing/2014/main" id="{AC43DDCF-77FB-598F-3F0D-06E7F57CDD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27229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75495</xdr:colOff>
      <xdr:row>393</xdr:row>
      <xdr:rowOff>39688</xdr:rowOff>
    </xdr:from>
    <xdr:to>
      <xdr:col>2</xdr:col>
      <xdr:colOff>295981</xdr:colOff>
      <xdr:row>393</xdr:row>
      <xdr:rowOff>293688</xdr:rowOff>
    </xdr:to>
    <xdr:pic>
      <xdr:nvPicPr>
        <xdr:cNvPr id="54491" name="Picture 54490">
          <a:extLst>
            <a:ext uri="{FF2B5EF4-FFF2-40B4-BE49-F238E27FC236}">
              <a16:creationId xmlns:a16="http://schemas.microsoft.com/office/drawing/2014/main" id="{3E2D40D5-9D29-71CF-B932-163D3748BC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520" y="133056313"/>
          <a:ext cx="220486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393</xdr:row>
      <xdr:rowOff>39688</xdr:rowOff>
    </xdr:from>
    <xdr:to>
      <xdr:col>6</xdr:col>
      <xdr:colOff>346075</xdr:colOff>
      <xdr:row>393</xdr:row>
      <xdr:rowOff>293688</xdr:rowOff>
    </xdr:to>
    <xdr:pic>
      <xdr:nvPicPr>
        <xdr:cNvPr id="54494" name="Picture 54493">
          <a:extLst>
            <a:ext uri="{FF2B5EF4-FFF2-40B4-BE49-F238E27FC236}">
              <a16:creationId xmlns:a16="http://schemas.microsoft.com/office/drawing/2014/main" id="{C0F5D6BB-8103-70DB-5EFA-2CB1515155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30563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394</xdr:row>
      <xdr:rowOff>39688</xdr:rowOff>
    </xdr:from>
    <xdr:to>
      <xdr:col>2</xdr:col>
      <xdr:colOff>312738</xdr:colOff>
      <xdr:row>394</xdr:row>
      <xdr:rowOff>293688</xdr:rowOff>
    </xdr:to>
    <xdr:pic>
      <xdr:nvPicPr>
        <xdr:cNvPr id="54497" name="Picture 54496">
          <a:extLst>
            <a:ext uri="{FF2B5EF4-FFF2-40B4-BE49-F238E27FC236}">
              <a16:creationId xmlns:a16="http://schemas.microsoft.com/office/drawing/2014/main" id="{E9D1773B-D722-178C-3286-BAB64C7FC1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33896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394</xdr:row>
      <xdr:rowOff>39688</xdr:rowOff>
    </xdr:from>
    <xdr:to>
      <xdr:col>6</xdr:col>
      <xdr:colOff>346075</xdr:colOff>
      <xdr:row>394</xdr:row>
      <xdr:rowOff>293688</xdr:rowOff>
    </xdr:to>
    <xdr:pic>
      <xdr:nvPicPr>
        <xdr:cNvPr id="54500" name="Picture 54499">
          <a:extLst>
            <a:ext uri="{FF2B5EF4-FFF2-40B4-BE49-F238E27FC236}">
              <a16:creationId xmlns:a16="http://schemas.microsoft.com/office/drawing/2014/main" id="{90F0B385-BEC9-7310-1812-EBE999F4AB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33896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395</xdr:row>
      <xdr:rowOff>39688</xdr:rowOff>
    </xdr:from>
    <xdr:to>
      <xdr:col>2</xdr:col>
      <xdr:colOff>312738</xdr:colOff>
      <xdr:row>395</xdr:row>
      <xdr:rowOff>293688</xdr:rowOff>
    </xdr:to>
    <xdr:pic>
      <xdr:nvPicPr>
        <xdr:cNvPr id="54503" name="Picture 54502">
          <a:extLst>
            <a:ext uri="{FF2B5EF4-FFF2-40B4-BE49-F238E27FC236}">
              <a16:creationId xmlns:a16="http://schemas.microsoft.com/office/drawing/2014/main" id="{837017E6-B767-60E5-94D5-6116489F35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37230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115703</xdr:colOff>
      <xdr:row>395</xdr:row>
      <xdr:rowOff>39688</xdr:rowOff>
    </xdr:from>
    <xdr:to>
      <xdr:col>6</xdr:col>
      <xdr:colOff>322447</xdr:colOff>
      <xdr:row>395</xdr:row>
      <xdr:rowOff>293688</xdr:rowOff>
    </xdr:to>
    <xdr:pic>
      <xdr:nvPicPr>
        <xdr:cNvPr id="54506" name="Picture 54505">
          <a:extLst>
            <a:ext uri="{FF2B5EF4-FFF2-40B4-BE49-F238E27FC236}">
              <a16:creationId xmlns:a16="http://schemas.microsoft.com/office/drawing/2014/main" id="{F165DDDD-03E4-48BF-E9E7-30EEA54C02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928" y="133723063"/>
          <a:ext cx="206744" cy="254000"/>
        </a:xfrm>
        <a:prstGeom prst="rect">
          <a:avLst/>
        </a:prstGeom>
      </xdr:spPr>
    </xdr:pic>
    <xdr:clientData/>
  </xdr:twoCellAnchor>
  <xdr:twoCellAnchor>
    <xdr:from>
      <xdr:col>2</xdr:col>
      <xdr:colOff>115888</xdr:colOff>
      <xdr:row>396</xdr:row>
      <xdr:rowOff>39688</xdr:rowOff>
    </xdr:from>
    <xdr:to>
      <xdr:col>2</xdr:col>
      <xdr:colOff>255588</xdr:colOff>
      <xdr:row>396</xdr:row>
      <xdr:rowOff>293688</xdr:rowOff>
    </xdr:to>
    <xdr:pic>
      <xdr:nvPicPr>
        <xdr:cNvPr id="54509" name="Picture 54508">
          <a:extLst>
            <a:ext uri="{FF2B5EF4-FFF2-40B4-BE49-F238E27FC236}">
              <a16:creationId xmlns:a16="http://schemas.microsoft.com/office/drawing/2014/main" id="{7BB3543C-6D0C-7D2F-7632-38F9FE3321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3913" y="134056438"/>
          <a:ext cx="1397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396</xdr:row>
      <xdr:rowOff>39688</xdr:rowOff>
    </xdr:from>
    <xdr:to>
      <xdr:col>6</xdr:col>
      <xdr:colOff>346075</xdr:colOff>
      <xdr:row>396</xdr:row>
      <xdr:rowOff>293688</xdr:rowOff>
    </xdr:to>
    <xdr:pic>
      <xdr:nvPicPr>
        <xdr:cNvPr id="54512" name="Picture 54511">
          <a:extLst>
            <a:ext uri="{FF2B5EF4-FFF2-40B4-BE49-F238E27FC236}">
              <a16:creationId xmlns:a16="http://schemas.microsoft.com/office/drawing/2014/main" id="{2F636236-3A6F-A6EE-950A-96439A7B85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40564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397</xdr:row>
      <xdr:rowOff>39688</xdr:rowOff>
    </xdr:from>
    <xdr:to>
      <xdr:col>2</xdr:col>
      <xdr:colOff>312738</xdr:colOff>
      <xdr:row>397</xdr:row>
      <xdr:rowOff>293688</xdr:rowOff>
    </xdr:to>
    <xdr:pic>
      <xdr:nvPicPr>
        <xdr:cNvPr id="54515" name="Picture 54514">
          <a:extLst>
            <a:ext uri="{FF2B5EF4-FFF2-40B4-BE49-F238E27FC236}">
              <a16:creationId xmlns:a16="http://schemas.microsoft.com/office/drawing/2014/main" id="{9BCDA9F6-66A3-05B1-FB14-CB73298DA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43898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397</xdr:row>
      <xdr:rowOff>39688</xdr:rowOff>
    </xdr:from>
    <xdr:to>
      <xdr:col>6</xdr:col>
      <xdr:colOff>346075</xdr:colOff>
      <xdr:row>397</xdr:row>
      <xdr:rowOff>293688</xdr:rowOff>
    </xdr:to>
    <xdr:pic>
      <xdr:nvPicPr>
        <xdr:cNvPr id="54518" name="Picture 54517">
          <a:extLst>
            <a:ext uri="{FF2B5EF4-FFF2-40B4-BE49-F238E27FC236}">
              <a16:creationId xmlns:a16="http://schemas.microsoft.com/office/drawing/2014/main" id="{F68F7171-978F-5FD5-454D-231C2ABA52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43898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398</xdr:row>
      <xdr:rowOff>39688</xdr:rowOff>
    </xdr:from>
    <xdr:to>
      <xdr:col>2</xdr:col>
      <xdr:colOff>312738</xdr:colOff>
      <xdr:row>398</xdr:row>
      <xdr:rowOff>293688</xdr:rowOff>
    </xdr:to>
    <xdr:pic>
      <xdr:nvPicPr>
        <xdr:cNvPr id="54521" name="Picture 54520">
          <a:extLst>
            <a:ext uri="{FF2B5EF4-FFF2-40B4-BE49-F238E27FC236}">
              <a16:creationId xmlns:a16="http://schemas.microsoft.com/office/drawing/2014/main" id="{609C112C-60C9-CB52-A5C4-BFC9B7DEAD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47231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398</xdr:row>
      <xdr:rowOff>39688</xdr:rowOff>
    </xdr:from>
    <xdr:to>
      <xdr:col>6</xdr:col>
      <xdr:colOff>346075</xdr:colOff>
      <xdr:row>398</xdr:row>
      <xdr:rowOff>293688</xdr:rowOff>
    </xdr:to>
    <xdr:pic>
      <xdr:nvPicPr>
        <xdr:cNvPr id="54524" name="Picture 54523">
          <a:extLst>
            <a:ext uri="{FF2B5EF4-FFF2-40B4-BE49-F238E27FC236}">
              <a16:creationId xmlns:a16="http://schemas.microsoft.com/office/drawing/2014/main" id="{A8081BB9-2D0E-67CC-F275-DC43256130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47231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33572</xdr:colOff>
      <xdr:row>399</xdr:row>
      <xdr:rowOff>39688</xdr:rowOff>
    </xdr:from>
    <xdr:to>
      <xdr:col>2</xdr:col>
      <xdr:colOff>337904</xdr:colOff>
      <xdr:row>399</xdr:row>
      <xdr:rowOff>293688</xdr:rowOff>
    </xdr:to>
    <xdr:pic>
      <xdr:nvPicPr>
        <xdr:cNvPr id="54527" name="Picture 54526">
          <a:extLst>
            <a:ext uri="{FF2B5EF4-FFF2-40B4-BE49-F238E27FC236}">
              <a16:creationId xmlns:a16="http://schemas.microsoft.com/office/drawing/2014/main" id="{3FE86D3A-CFC3-7C9D-17B4-FD5B57AE08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597" y="135056563"/>
          <a:ext cx="304332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399</xdr:row>
      <xdr:rowOff>39688</xdr:rowOff>
    </xdr:from>
    <xdr:to>
      <xdr:col>6</xdr:col>
      <xdr:colOff>346075</xdr:colOff>
      <xdr:row>399</xdr:row>
      <xdr:rowOff>293688</xdr:rowOff>
    </xdr:to>
    <xdr:pic>
      <xdr:nvPicPr>
        <xdr:cNvPr id="54530" name="Picture 54529">
          <a:extLst>
            <a:ext uri="{FF2B5EF4-FFF2-40B4-BE49-F238E27FC236}">
              <a16:creationId xmlns:a16="http://schemas.microsoft.com/office/drawing/2014/main" id="{76923FE2-FA5C-B126-BA4B-129DE7B27E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50565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400</xdr:row>
      <xdr:rowOff>39688</xdr:rowOff>
    </xdr:from>
    <xdr:to>
      <xdr:col>2</xdr:col>
      <xdr:colOff>312738</xdr:colOff>
      <xdr:row>400</xdr:row>
      <xdr:rowOff>293688</xdr:rowOff>
    </xdr:to>
    <xdr:pic>
      <xdr:nvPicPr>
        <xdr:cNvPr id="54533" name="Picture 54532">
          <a:extLst>
            <a:ext uri="{FF2B5EF4-FFF2-40B4-BE49-F238E27FC236}">
              <a16:creationId xmlns:a16="http://schemas.microsoft.com/office/drawing/2014/main" id="{10C2DD2D-4C70-F80B-C055-DA29ED9CC4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53899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400</xdr:row>
      <xdr:rowOff>39688</xdr:rowOff>
    </xdr:from>
    <xdr:to>
      <xdr:col>6</xdr:col>
      <xdr:colOff>346075</xdr:colOff>
      <xdr:row>400</xdr:row>
      <xdr:rowOff>293688</xdr:rowOff>
    </xdr:to>
    <xdr:pic>
      <xdr:nvPicPr>
        <xdr:cNvPr id="54536" name="Picture 54535">
          <a:extLst>
            <a:ext uri="{FF2B5EF4-FFF2-40B4-BE49-F238E27FC236}">
              <a16:creationId xmlns:a16="http://schemas.microsoft.com/office/drawing/2014/main" id="{6931E934-1C33-3012-F09D-24E1EE736A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53899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404</xdr:row>
      <xdr:rowOff>39688</xdr:rowOff>
    </xdr:from>
    <xdr:to>
      <xdr:col>2</xdr:col>
      <xdr:colOff>312738</xdr:colOff>
      <xdr:row>404</xdr:row>
      <xdr:rowOff>293688</xdr:rowOff>
    </xdr:to>
    <xdr:pic>
      <xdr:nvPicPr>
        <xdr:cNvPr id="54539" name="Picture 54538">
          <a:extLst>
            <a:ext uri="{FF2B5EF4-FFF2-40B4-BE49-F238E27FC236}">
              <a16:creationId xmlns:a16="http://schemas.microsoft.com/office/drawing/2014/main" id="{D559FC15-C850-F6AA-DC91-380C9C7F1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67901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404</xdr:row>
      <xdr:rowOff>39688</xdr:rowOff>
    </xdr:from>
    <xdr:to>
      <xdr:col>6</xdr:col>
      <xdr:colOff>346075</xdr:colOff>
      <xdr:row>404</xdr:row>
      <xdr:rowOff>293688</xdr:rowOff>
    </xdr:to>
    <xdr:pic>
      <xdr:nvPicPr>
        <xdr:cNvPr id="54542" name="Picture 54541">
          <a:extLst>
            <a:ext uri="{FF2B5EF4-FFF2-40B4-BE49-F238E27FC236}">
              <a16:creationId xmlns:a16="http://schemas.microsoft.com/office/drawing/2014/main" id="{39DB58F7-B317-B5FC-71DF-5668A9928C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67901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405</xdr:row>
      <xdr:rowOff>39688</xdr:rowOff>
    </xdr:from>
    <xdr:to>
      <xdr:col>2</xdr:col>
      <xdr:colOff>312738</xdr:colOff>
      <xdr:row>405</xdr:row>
      <xdr:rowOff>293688</xdr:rowOff>
    </xdr:to>
    <xdr:pic>
      <xdr:nvPicPr>
        <xdr:cNvPr id="54545" name="Picture 54544">
          <a:extLst>
            <a:ext uri="{FF2B5EF4-FFF2-40B4-BE49-F238E27FC236}">
              <a16:creationId xmlns:a16="http://schemas.microsoft.com/office/drawing/2014/main" id="{A6ACBC90-F0B3-9E0B-1615-B0430769D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71234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405</xdr:row>
      <xdr:rowOff>39688</xdr:rowOff>
    </xdr:from>
    <xdr:to>
      <xdr:col>6</xdr:col>
      <xdr:colOff>346075</xdr:colOff>
      <xdr:row>405</xdr:row>
      <xdr:rowOff>293688</xdr:rowOff>
    </xdr:to>
    <xdr:pic>
      <xdr:nvPicPr>
        <xdr:cNvPr id="54548" name="Picture 54547">
          <a:extLst>
            <a:ext uri="{FF2B5EF4-FFF2-40B4-BE49-F238E27FC236}">
              <a16:creationId xmlns:a16="http://schemas.microsoft.com/office/drawing/2014/main" id="{F6332B02-2A1F-F180-03BF-ACAE4BF001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71234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406</xdr:row>
      <xdr:rowOff>39688</xdr:rowOff>
    </xdr:from>
    <xdr:to>
      <xdr:col>2</xdr:col>
      <xdr:colOff>312738</xdr:colOff>
      <xdr:row>406</xdr:row>
      <xdr:rowOff>293688</xdr:rowOff>
    </xdr:to>
    <xdr:pic>
      <xdr:nvPicPr>
        <xdr:cNvPr id="54551" name="Picture 54550">
          <a:extLst>
            <a:ext uri="{FF2B5EF4-FFF2-40B4-BE49-F238E27FC236}">
              <a16:creationId xmlns:a16="http://schemas.microsoft.com/office/drawing/2014/main" id="{6D7CD24D-6384-FAD1-A4AE-19A1BD318E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74568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149225</xdr:colOff>
      <xdr:row>406</xdr:row>
      <xdr:rowOff>39688</xdr:rowOff>
    </xdr:from>
    <xdr:to>
      <xdr:col>6</xdr:col>
      <xdr:colOff>288925</xdr:colOff>
      <xdr:row>406</xdr:row>
      <xdr:rowOff>293688</xdr:rowOff>
    </xdr:to>
    <xdr:pic>
      <xdr:nvPicPr>
        <xdr:cNvPr id="54554" name="Picture 54553">
          <a:extLst>
            <a:ext uri="{FF2B5EF4-FFF2-40B4-BE49-F238E27FC236}">
              <a16:creationId xmlns:a16="http://schemas.microsoft.com/office/drawing/2014/main" id="{B48F4FF0-B411-31BA-F7C2-06436F6104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450" y="137456863"/>
          <a:ext cx="1397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407</xdr:row>
      <xdr:rowOff>39688</xdr:rowOff>
    </xdr:from>
    <xdr:to>
      <xdr:col>2</xdr:col>
      <xdr:colOff>312738</xdr:colOff>
      <xdr:row>407</xdr:row>
      <xdr:rowOff>293688</xdr:rowOff>
    </xdr:to>
    <xdr:pic>
      <xdr:nvPicPr>
        <xdr:cNvPr id="54557" name="Picture 54556">
          <a:extLst>
            <a:ext uri="{FF2B5EF4-FFF2-40B4-BE49-F238E27FC236}">
              <a16:creationId xmlns:a16="http://schemas.microsoft.com/office/drawing/2014/main" id="{05733BD9-7C4F-796E-2E53-99E057C76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77902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407</xdr:row>
      <xdr:rowOff>39688</xdr:rowOff>
    </xdr:from>
    <xdr:to>
      <xdr:col>6</xdr:col>
      <xdr:colOff>346075</xdr:colOff>
      <xdr:row>407</xdr:row>
      <xdr:rowOff>293688</xdr:rowOff>
    </xdr:to>
    <xdr:pic>
      <xdr:nvPicPr>
        <xdr:cNvPr id="54560" name="Picture 54559">
          <a:extLst>
            <a:ext uri="{FF2B5EF4-FFF2-40B4-BE49-F238E27FC236}">
              <a16:creationId xmlns:a16="http://schemas.microsoft.com/office/drawing/2014/main" id="{3DF4967F-B7FD-5D83-409F-24D797FFF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77902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408</xdr:row>
      <xdr:rowOff>39688</xdr:rowOff>
    </xdr:from>
    <xdr:to>
      <xdr:col>2</xdr:col>
      <xdr:colOff>312738</xdr:colOff>
      <xdr:row>408</xdr:row>
      <xdr:rowOff>293688</xdr:rowOff>
    </xdr:to>
    <xdr:pic>
      <xdr:nvPicPr>
        <xdr:cNvPr id="54563" name="Picture 54562">
          <a:extLst>
            <a:ext uri="{FF2B5EF4-FFF2-40B4-BE49-F238E27FC236}">
              <a16:creationId xmlns:a16="http://schemas.microsoft.com/office/drawing/2014/main" id="{F26E7B4B-F2CC-55BE-CB2D-6A7C7DAD97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81236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108832</xdr:colOff>
      <xdr:row>408</xdr:row>
      <xdr:rowOff>39688</xdr:rowOff>
    </xdr:from>
    <xdr:to>
      <xdr:col>6</xdr:col>
      <xdr:colOff>329318</xdr:colOff>
      <xdr:row>408</xdr:row>
      <xdr:rowOff>293688</xdr:rowOff>
    </xdr:to>
    <xdr:pic>
      <xdr:nvPicPr>
        <xdr:cNvPr id="54566" name="Picture 54565">
          <a:extLst>
            <a:ext uri="{FF2B5EF4-FFF2-40B4-BE49-F238E27FC236}">
              <a16:creationId xmlns:a16="http://schemas.microsoft.com/office/drawing/2014/main" id="{B96CF715-F5C8-3FD4-162F-2AE833710C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6057" y="138123613"/>
          <a:ext cx="220486" cy="254000"/>
        </a:xfrm>
        <a:prstGeom prst="rect">
          <a:avLst/>
        </a:prstGeom>
      </xdr:spPr>
    </xdr:pic>
    <xdr:clientData/>
  </xdr:twoCellAnchor>
  <xdr:twoCellAnchor>
    <xdr:from>
      <xdr:col>2</xdr:col>
      <xdr:colOff>82366</xdr:colOff>
      <xdr:row>409</xdr:row>
      <xdr:rowOff>39688</xdr:rowOff>
    </xdr:from>
    <xdr:to>
      <xdr:col>2</xdr:col>
      <xdr:colOff>289110</xdr:colOff>
      <xdr:row>409</xdr:row>
      <xdr:rowOff>293688</xdr:rowOff>
    </xdr:to>
    <xdr:pic>
      <xdr:nvPicPr>
        <xdr:cNvPr id="54569" name="Picture 54568">
          <a:extLst>
            <a:ext uri="{FF2B5EF4-FFF2-40B4-BE49-F238E27FC236}">
              <a16:creationId xmlns:a16="http://schemas.microsoft.com/office/drawing/2014/main" id="{BF159158-EBA4-E391-97DF-71F9855D7D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391" y="138456988"/>
          <a:ext cx="206744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409</xdr:row>
      <xdr:rowOff>39688</xdr:rowOff>
    </xdr:from>
    <xdr:to>
      <xdr:col>6</xdr:col>
      <xdr:colOff>346075</xdr:colOff>
      <xdr:row>409</xdr:row>
      <xdr:rowOff>293688</xdr:rowOff>
    </xdr:to>
    <xdr:pic>
      <xdr:nvPicPr>
        <xdr:cNvPr id="54572" name="Picture 54571">
          <a:extLst>
            <a:ext uri="{FF2B5EF4-FFF2-40B4-BE49-F238E27FC236}">
              <a16:creationId xmlns:a16="http://schemas.microsoft.com/office/drawing/2014/main" id="{2BA7A676-8767-7BC0-A133-54898F6AF0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84569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410</xdr:row>
      <xdr:rowOff>39688</xdr:rowOff>
    </xdr:from>
    <xdr:to>
      <xdr:col>2</xdr:col>
      <xdr:colOff>312738</xdr:colOff>
      <xdr:row>410</xdr:row>
      <xdr:rowOff>293688</xdr:rowOff>
    </xdr:to>
    <xdr:pic>
      <xdr:nvPicPr>
        <xdr:cNvPr id="54575" name="Picture 54574">
          <a:extLst>
            <a:ext uri="{FF2B5EF4-FFF2-40B4-BE49-F238E27FC236}">
              <a16:creationId xmlns:a16="http://schemas.microsoft.com/office/drawing/2014/main" id="{B64436DD-7208-218E-415A-692939596B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87903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410</xdr:row>
      <xdr:rowOff>39688</xdr:rowOff>
    </xdr:from>
    <xdr:to>
      <xdr:col>6</xdr:col>
      <xdr:colOff>346075</xdr:colOff>
      <xdr:row>410</xdr:row>
      <xdr:rowOff>293688</xdr:rowOff>
    </xdr:to>
    <xdr:pic>
      <xdr:nvPicPr>
        <xdr:cNvPr id="54578" name="Picture 54577">
          <a:extLst>
            <a:ext uri="{FF2B5EF4-FFF2-40B4-BE49-F238E27FC236}">
              <a16:creationId xmlns:a16="http://schemas.microsoft.com/office/drawing/2014/main" id="{2415DCD2-BBEE-A78F-A12B-7619285FDB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87903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411</xdr:row>
      <xdr:rowOff>39688</xdr:rowOff>
    </xdr:from>
    <xdr:to>
      <xdr:col>2</xdr:col>
      <xdr:colOff>312738</xdr:colOff>
      <xdr:row>411</xdr:row>
      <xdr:rowOff>293688</xdr:rowOff>
    </xdr:to>
    <xdr:pic>
      <xdr:nvPicPr>
        <xdr:cNvPr id="54581" name="Picture 54580">
          <a:extLst>
            <a:ext uri="{FF2B5EF4-FFF2-40B4-BE49-F238E27FC236}">
              <a16:creationId xmlns:a16="http://schemas.microsoft.com/office/drawing/2014/main" id="{0CD8014B-FFAE-5508-D27A-707F723827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91237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66909</xdr:colOff>
      <xdr:row>411</xdr:row>
      <xdr:rowOff>39688</xdr:rowOff>
    </xdr:from>
    <xdr:to>
      <xdr:col>6</xdr:col>
      <xdr:colOff>371241</xdr:colOff>
      <xdr:row>411</xdr:row>
      <xdr:rowOff>293688</xdr:rowOff>
    </xdr:to>
    <xdr:pic>
      <xdr:nvPicPr>
        <xdr:cNvPr id="54584" name="Picture 54583">
          <a:extLst>
            <a:ext uri="{FF2B5EF4-FFF2-40B4-BE49-F238E27FC236}">
              <a16:creationId xmlns:a16="http://schemas.microsoft.com/office/drawing/2014/main" id="{0A0F0829-0226-A2FB-57DC-E0AE389F9C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4134" y="139123738"/>
          <a:ext cx="304332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412</xdr:row>
      <xdr:rowOff>39688</xdr:rowOff>
    </xdr:from>
    <xdr:to>
      <xdr:col>2</xdr:col>
      <xdr:colOff>312738</xdr:colOff>
      <xdr:row>412</xdr:row>
      <xdr:rowOff>293688</xdr:rowOff>
    </xdr:to>
    <xdr:pic>
      <xdr:nvPicPr>
        <xdr:cNvPr id="54587" name="Picture 54586">
          <a:extLst>
            <a:ext uri="{FF2B5EF4-FFF2-40B4-BE49-F238E27FC236}">
              <a16:creationId xmlns:a16="http://schemas.microsoft.com/office/drawing/2014/main" id="{1A30234B-1825-0A30-3A1A-17F1B14356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94571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412</xdr:row>
      <xdr:rowOff>39688</xdr:rowOff>
    </xdr:from>
    <xdr:to>
      <xdr:col>6</xdr:col>
      <xdr:colOff>346075</xdr:colOff>
      <xdr:row>412</xdr:row>
      <xdr:rowOff>293688</xdr:rowOff>
    </xdr:to>
    <xdr:pic>
      <xdr:nvPicPr>
        <xdr:cNvPr id="54590" name="Picture 54589">
          <a:extLst>
            <a:ext uri="{FF2B5EF4-FFF2-40B4-BE49-F238E27FC236}">
              <a16:creationId xmlns:a16="http://schemas.microsoft.com/office/drawing/2014/main" id="{5657061A-1A95-CAD1-B00E-5E591B52E5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94571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413</xdr:row>
      <xdr:rowOff>39688</xdr:rowOff>
    </xdr:from>
    <xdr:to>
      <xdr:col>2</xdr:col>
      <xdr:colOff>312738</xdr:colOff>
      <xdr:row>413</xdr:row>
      <xdr:rowOff>293688</xdr:rowOff>
    </xdr:to>
    <xdr:pic>
      <xdr:nvPicPr>
        <xdr:cNvPr id="54593" name="Picture 54592">
          <a:extLst>
            <a:ext uri="{FF2B5EF4-FFF2-40B4-BE49-F238E27FC236}">
              <a16:creationId xmlns:a16="http://schemas.microsoft.com/office/drawing/2014/main" id="{5B480A69-4A34-AB21-5125-2EC4C565C6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397904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413</xdr:row>
      <xdr:rowOff>39688</xdr:rowOff>
    </xdr:from>
    <xdr:to>
      <xdr:col>6</xdr:col>
      <xdr:colOff>346075</xdr:colOff>
      <xdr:row>413</xdr:row>
      <xdr:rowOff>293688</xdr:rowOff>
    </xdr:to>
    <xdr:pic>
      <xdr:nvPicPr>
        <xdr:cNvPr id="54596" name="Picture 54595">
          <a:extLst>
            <a:ext uri="{FF2B5EF4-FFF2-40B4-BE49-F238E27FC236}">
              <a16:creationId xmlns:a16="http://schemas.microsoft.com/office/drawing/2014/main" id="{42DC6932-2BD2-B639-0000-B4D76CB6EC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397904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417</xdr:row>
      <xdr:rowOff>39688</xdr:rowOff>
    </xdr:from>
    <xdr:to>
      <xdr:col>2</xdr:col>
      <xdr:colOff>312738</xdr:colOff>
      <xdr:row>417</xdr:row>
      <xdr:rowOff>293688</xdr:rowOff>
    </xdr:to>
    <xdr:pic>
      <xdr:nvPicPr>
        <xdr:cNvPr id="54599" name="Picture 54598">
          <a:extLst>
            <a:ext uri="{FF2B5EF4-FFF2-40B4-BE49-F238E27FC236}">
              <a16:creationId xmlns:a16="http://schemas.microsoft.com/office/drawing/2014/main" id="{FD5AACA7-3591-2630-38E5-6D02D3E476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11906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417</xdr:row>
      <xdr:rowOff>39688</xdr:rowOff>
    </xdr:from>
    <xdr:to>
      <xdr:col>6</xdr:col>
      <xdr:colOff>346075</xdr:colOff>
      <xdr:row>417</xdr:row>
      <xdr:rowOff>293688</xdr:rowOff>
    </xdr:to>
    <xdr:pic>
      <xdr:nvPicPr>
        <xdr:cNvPr id="54602" name="Picture 54601">
          <a:extLst>
            <a:ext uri="{FF2B5EF4-FFF2-40B4-BE49-F238E27FC236}">
              <a16:creationId xmlns:a16="http://schemas.microsoft.com/office/drawing/2014/main" id="{8A7784F9-F620-694A-F87B-7C2B6601A6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11906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418</xdr:row>
      <xdr:rowOff>39688</xdr:rowOff>
    </xdr:from>
    <xdr:to>
      <xdr:col>2</xdr:col>
      <xdr:colOff>312738</xdr:colOff>
      <xdr:row>418</xdr:row>
      <xdr:rowOff>293688</xdr:rowOff>
    </xdr:to>
    <xdr:pic>
      <xdr:nvPicPr>
        <xdr:cNvPr id="54605" name="Picture 54604">
          <a:extLst>
            <a:ext uri="{FF2B5EF4-FFF2-40B4-BE49-F238E27FC236}">
              <a16:creationId xmlns:a16="http://schemas.microsoft.com/office/drawing/2014/main" id="{2CE78BC5-16E9-9DAA-C884-56160B106D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15240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418</xdr:row>
      <xdr:rowOff>39688</xdr:rowOff>
    </xdr:from>
    <xdr:to>
      <xdr:col>6</xdr:col>
      <xdr:colOff>346075</xdr:colOff>
      <xdr:row>418</xdr:row>
      <xdr:rowOff>293688</xdr:rowOff>
    </xdr:to>
    <xdr:pic>
      <xdr:nvPicPr>
        <xdr:cNvPr id="54608" name="Picture 54607">
          <a:extLst>
            <a:ext uri="{FF2B5EF4-FFF2-40B4-BE49-F238E27FC236}">
              <a16:creationId xmlns:a16="http://schemas.microsoft.com/office/drawing/2014/main" id="{534F733E-0FF4-2213-0E35-A1A4688387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15240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75495</xdr:colOff>
      <xdr:row>419</xdr:row>
      <xdr:rowOff>39688</xdr:rowOff>
    </xdr:from>
    <xdr:to>
      <xdr:col>2</xdr:col>
      <xdr:colOff>295981</xdr:colOff>
      <xdr:row>419</xdr:row>
      <xdr:rowOff>293688</xdr:rowOff>
    </xdr:to>
    <xdr:pic>
      <xdr:nvPicPr>
        <xdr:cNvPr id="54611" name="Picture 54610">
          <a:extLst>
            <a:ext uri="{FF2B5EF4-FFF2-40B4-BE49-F238E27FC236}">
              <a16:creationId xmlns:a16="http://schemas.microsoft.com/office/drawing/2014/main" id="{696B93AD-A159-0205-B8FB-589152E470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520" y="141857413"/>
          <a:ext cx="220486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419</xdr:row>
      <xdr:rowOff>39688</xdr:rowOff>
    </xdr:from>
    <xdr:to>
      <xdr:col>6</xdr:col>
      <xdr:colOff>346075</xdr:colOff>
      <xdr:row>419</xdr:row>
      <xdr:rowOff>293688</xdr:rowOff>
    </xdr:to>
    <xdr:pic>
      <xdr:nvPicPr>
        <xdr:cNvPr id="54614" name="Picture 54613">
          <a:extLst>
            <a:ext uri="{FF2B5EF4-FFF2-40B4-BE49-F238E27FC236}">
              <a16:creationId xmlns:a16="http://schemas.microsoft.com/office/drawing/2014/main" id="{229989D0-B506-7C2D-FE33-FB005AD9C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18574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420</xdr:row>
      <xdr:rowOff>39688</xdr:rowOff>
    </xdr:from>
    <xdr:to>
      <xdr:col>2</xdr:col>
      <xdr:colOff>312738</xdr:colOff>
      <xdr:row>420</xdr:row>
      <xdr:rowOff>293688</xdr:rowOff>
    </xdr:to>
    <xdr:pic>
      <xdr:nvPicPr>
        <xdr:cNvPr id="54617" name="Picture 54616">
          <a:extLst>
            <a:ext uri="{FF2B5EF4-FFF2-40B4-BE49-F238E27FC236}">
              <a16:creationId xmlns:a16="http://schemas.microsoft.com/office/drawing/2014/main" id="{CE6073B1-1ED6-CA2A-A7E9-5A88D5E69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21907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420</xdr:row>
      <xdr:rowOff>39688</xdr:rowOff>
    </xdr:from>
    <xdr:to>
      <xdr:col>6</xdr:col>
      <xdr:colOff>346075</xdr:colOff>
      <xdr:row>420</xdr:row>
      <xdr:rowOff>293688</xdr:rowOff>
    </xdr:to>
    <xdr:pic>
      <xdr:nvPicPr>
        <xdr:cNvPr id="54620" name="Picture 54619">
          <a:extLst>
            <a:ext uri="{FF2B5EF4-FFF2-40B4-BE49-F238E27FC236}">
              <a16:creationId xmlns:a16="http://schemas.microsoft.com/office/drawing/2014/main" id="{AA97EC5F-8225-085F-A0C4-B9E4BFD63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21907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421</xdr:row>
      <xdr:rowOff>39688</xdr:rowOff>
    </xdr:from>
    <xdr:to>
      <xdr:col>2</xdr:col>
      <xdr:colOff>312738</xdr:colOff>
      <xdr:row>421</xdr:row>
      <xdr:rowOff>293688</xdr:rowOff>
    </xdr:to>
    <xdr:pic>
      <xdr:nvPicPr>
        <xdr:cNvPr id="54623" name="Picture 54622">
          <a:extLst>
            <a:ext uri="{FF2B5EF4-FFF2-40B4-BE49-F238E27FC236}">
              <a16:creationId xmlns:a16="http://schemas.microsoft.com/office/drawing/2014/main" id="{F91EF556-AD6E-E5FF-716F-F48A82EC81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25241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421</xdr:row>
      <xdr:rowOff>39688</xdr:rowOff>
    </xdr:from>
    <xdr:to>
      <xdr:col>6</xdr:col>
      <xdr:colOff>346075</xdr:colOff>
      <xdr:row>421</xdr:row>
      <xdr:rowOff>293688</xdr:rowOff>
    </xdr:to>
    <xdr:pic>
      <xdr:nvPicPr>
        <xdr:cNvPr id="54626" name="Picture 54625">
          <a:extLst>
            <a:ext uri="{FF2B5EF4-FFF2-40B4-BE49-F238E27FC236}">
              <a16:creationId xmlns:a16="http://schemas.microsoft.com/office/drawing/2014/main" id="{9826BCB4-BA6B-394A-DCE1-134DC7FCF3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25241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115888</xdr:colOff>
      <xdr:row>422</xdr:row>
      <xdr:rowOff>39688</xdr:rowOff>
    </xdr:from>
    <xdr:to>
      <xdr:col>2</xdr:col>
      <xdr:colOff>255588</xdr:colOff>
      <xdr:row>422</xdr:row>
      <xdr:rowOff>293688</xdr:rowOff>
    </xdr:to>
    <xdr:pic>
      <xdr:nvPicPr>
        <xdr:cNvPr id="54629" name="Picture 54628">
          <a:extLst>
            <a:ext uri="{FF2B5EF4-FFF2-40B4-BE49-F238E27FC236}">
              <a16:creationId xmlns:a16="http://schemas.microsoft.com/office/drawing/2014/main" id="{98FB56FA-28B1-7AD1-79E2-327677E96E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3913" y="142857538"/>
          <a:ext cx="1397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422</xdr:row>
      <xdr:rowOff>39688</xdr:rowOff>
    </xdr:from>
    <xdr:to>
      <xdr:col>6</xdr:col>
      <xdr:colOff>346075</xdr:colOff>
      <xdr:row>422</xdr:row>
      <xdr:rowOff>293688</xdr:rowOff>
    </xdr:to>
    <xdr:pic>
      <xdr:nvPicPr>
        <xdr:cNvPr id="54632" name="Picture 54631">
          <a:extLst>
            <a:ext uri="{FF2B5EF4-FFF2-40B4-BE49-F238E27FC236}">
              <a16:creationId xmlns:a16="http://schemas.microsoft.com/office/drawing/2014/main" id="{2B4E6D86-E1DB-7DA6-D455-3DE9CC1B98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28575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423</xdr:row>
      <xdr:rowOff>39688</xdr:rowOff>
    </xdr:from>
    <xdr:to>
      <xdr:col>2</xdr:col>
      <xdr:colOff>312738</xdr:colOff>
      <xdr:row>423</xdr:row>
      <xdr:rowOff>293688</xdr:rowOff>
    </xdr:to>
    <xdr:pic>
      <xdr:nvPicPr>
        <xdr:cNvPr id="54635" name="Picture 54634">
          <a:extLst>
            <a:ext uri="{FF2B5EF4-FFF2-40B4-BE49-F238E27FC236}">
              <a16:creationId xmlns:a16="http://schemas.microsoft.com/office/drawing/2014/main" id="{5F475A2E-42AD-73B1-F0F2-42A44EAAE1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31909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115703</xdr:colOff>
      <xdr:row>423</xdr:row>
      <xdr:rowOff>39688</xdr:rowOff>
    </xdr:from>
    <xdr:to>
      <xdr:col>6</xdr:col>
      <xdr:colOff>322447</xdr:colOff>
      <xdr:row>423</xdr:row>
      <xdr:rowOff>293688</xdr:rowOff>
    </xdr:to>
    <xdr:pic>
      <xdr:nvPicPr>
        <xdr:cNvPr id="54638" name="Picture 54637">
          <a:extLst>
            <a:ext uri="{FF2B5EF4-FFF2-40B4-BE49-F238E27FC236}">
              <a16:creationId xmlns:a16="http://schemas.microsoft.com/office/drawing/2014/main" id="{F84B7888-5A5C-7C5F-02B0-746A09475B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928" y="143190913"/>
          <a:ext cx="206744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424</xdr:row>
      <xdr:rowOff>39688</xdr:rowOff>
    </xdr:from>
    <xdr:to>
      <xdr:col>2</xdr:col>
      <xdr:colOff>312738</xdr:colOff>
      <xdr:row>424</xdr:row>
      <xdr:rowOff>293688</xdr:rowOff>
    </xdr:to>
    <xdr:pic>
      <xdr:nvPicPr>
        <xdr:cNvPr id="54641" name="Picture 54640">
          <a:extLst>
            <a:ext uri="{FF2B5EF4-FFF2-40B4-BE49-F238E27FC236}">
              <a16:creationId xmlns:a16="http://schemas.microsoft.com/office/drawing/2014/main" id="{012544EA-C6EC-F020-25E8-F2D63F8350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35242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424</xdr:row>
      <xdr:rowOff>39688</xdr:rowOff>
    </xdr:from>
    <xdr:to>
      <xdr:col>6</xdr:col>
      <xdr:colOff>346075</xdr:colOff>
      <xdr:row>424</xdr:row>
      <xdr:rowOff>293688</xdr:rowOff>
    </xdr:to>
    <xdr:pic>
      <xdr:nvPicPr>
        <xdr:cNvPr id="54644" name="Picture 54643">
          <a:extLst>
            <a:ext uri="{FF2B5EF4-FFF2-40B4-BE49-F238E27FC236}">
              <a16:creationId xmlns:a16="http://schemas.microsoft.com/office/drawing/2014/main" id="{F452C91D-7853-49F1-9416-6B6103955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35242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33572</xdr:colOff>
      <xdr:row>425</xdr:row>
      <xdr:rowOff>39688</xdr:rowOff>
    </xdr:from>
    <xdr:to>
      <xdr:col>2</xdr:col>
      <xdr:colOff>337904</xdr:colOff>
      <xdr:row>425</xdr:row>
      <xdr:rowOff>293688</xdr:rowOff>
    </xdr:to>
    <xdr:pic>
      <xdr:nvPicPr>
        <xdr:cNvPr id="54647" name="Picture 54646">
          <a:extLst>
            <a:ext uri="{FF2B5EF4-FFF2-40B4-BE49-F238E27FC236}">
              <a16:creationId xmlns:a16="http://schemas.microsoft.com/office/drawing/2014/main" id="{C3A300E2-9651-B4EB-9DA3-E5D0FA0A82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597" y="143857663"/>
          <a:ext cx="304332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425</xdr:row>
      <xdr:rowOff>39688</xdr:rowOff>
    </xdr:from>
    <xdr:to>
      <xdr:col>6</xdr:col>
      <xdr:colOff>346075</xdr:colOff>
      <xdr:row>425</xdr:row>
      <xdr:rowOff>293688</xdr:rowOff>
    </xdr:to>
    <xdr:pic>
      <xdr:nvPicPr>
        <xdr:cNvPr id="54650" name="Picture 54649">
          <a:extLst>
            <a:ext uri="{FF2B5EF4-FFF2-40B4-BE49-F238E27FC236}">
              <a16:creationId xmlns:a16="http://schemas.microsoft.com/office/drawing/2014/main" id="{2EAAA39E-4D45-CB43-A437-750EAE481D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38576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426</xdr:row>
      <xdr:rowOff>39688</xdr:rowOff>
    </xdr:from>
    <xdr:to>
      <xdr:col>2</xdr:col>
      <xdr:colOff>312738</xdr:colOff>
      <xdr:row>426</xdr:row>
      <xdr:rowOff>293688</xdr:rowOff>
    </xdr:to>
    <xdr:pic>
      <xdr:nvPicPr>
        <xdr:cNvPr id="54653" name="Picture 54652">
          <a:extLst>
            <a:ext uri="{FF2B5EF4-FFF2-40B4-BE49-F238E27FC236}">
              <a16:creationId xmlns:a16="http://schemas.microsoft.com/office/drawing/2014/main" id="{A6889247-0A67-77A5-FFF7-45219FB3C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41910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426</xdr:row>
      <xdr:rowOff>39688</xdr:rowOff>
    </xdr:from>
    <xdr:to>
      <xdr:col>6</xdr:col>
      <xdr:colOff>346075</xdr:colOff>
      <xdr:row>426</xdr:row>
      <xdr:rowOff>293688</xdr:rowOff>
    </xdr:to>
    <xdr:pic>
      <xdr:nvPicPr>
        <xdr:cNvPr id="54656" name="Picture 54655">
          <a:extLst>
            <a:ext uri="{FF2B5EF4-FFF2-40B4-BE49-F238E27FC236}">
              <a16:creationId xmlns:a16="http://schemas.microsoft.com/office/drawing/2014/main" id="{251ADFED-B278-9012-5442-10E98343CC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41910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430</xdr:row>
      <xdr:rowOff>39688</xdr:rowOff>
    </xdr:from>
    <xdr:to>
      <xdr:col>2</xdr:col>
      <xdr:colOff>312738</xdr:colOff>
      <xdr:row>430</xdr:row>
      <xdr:rowOff>293688</xdr:rowOff>
    </xdr:to>
    <xdr:pic>
      <xdr:nvPicPr>
        <xdr:cNvPr id="54659" name="Picture 54658">
          <a:extLst>
            <a:ext uri="{FF2B5EF4-FFF2-40B4-BE49-F238E27FC236}">
              <a16:creationId xmlns:a16="http://schemas.microsoft.com/office/drawing/2014/main" id="{EBD83CCD-8EC8-EB1B-49F7-18E8A3EB57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55912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66909</xdr:colOff>
      <xdr:row>430</xdr:row>
      <xdr:rowOff>39688</xdr:rowOff>
    </xdr:from>
    <xdr:to>
      <xdr:col>6</xdr:col>
      <xdr:colOff>371241</xdr:colOff>
      <xdr:row>430</xdr:row>
      <xdr:rowOff>293688</xdr:rowOff>
    </xdr:to>
    <xdr:pic>
      <xdr:nvPicPr>
        <xdr:cNvPr id="54662" name="Picture 54661">
          <a:extLst>
            <a:ext uri="{FF2B5EF4-FFF2-40B4-BE49-F238E27FC236}">
              <a16:creationId xmlns:a16="http://schemas.microsoft.com/office/drawing/2014/main" id="{DF1E0159-6CA8-8B69-2B7F-FD8A507B5F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4134" y="145591213"/>
          <a:ext cx="304332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431</xdr:row>
      <xdr:rowOff>39688</xdr:rowOff>
    </xdr:from>
    <xdr:to>
      <xdr:col>2</xdr:col>
      <xdr:colOff>312738</xdr:colOff>
      <xdr:row>431</xdr:row>
      <xdr:rowOff>293688</xdr:rowOff>
    </xdr:to>
    <xdr:pic>
      <xdr:nvPicPr>
        <xdr:cNvPr id="54665" name="Picture 54664">
          <a:extLst>
            <a:ext uri="{FF2B5EF4-FFF2-40B4-BE49-F238E27FC236}">
              <a16:creationId xmlns:a16="http://schemas.microsoft.com/office/drawing/2014/main" id="{AA0CB4BE-9A5A-85E1-11D0-830D53D05C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59245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431</xdr:row>
      <xdr:rowOff>39688</xdr:rowOff>
    </xdr:from>
    <xdr:to>
      <xdr:col>6</xdr:col>
      <xdr:colOff>346075</xdr:colOff>
      <xdr:row>431</xdr:row>
      <xdr:rowOff>293688</xdr:rowOff>
    </xdr:to>
    <xdr:pic>
      <xdr:nvPicPr>
        <xdr:cNvPr id="54668" name="Picture 54667">
          <a:extLst>
            <a:ext uri="{FF2B5EF4-FFF2-40B4-BE49-F238E27FC236}">
              <a16:creationId xmlns:a16="http://schemas.microsoft.com/office/drawing/2014/main" id="{2C2800EB-1F41-E251-D553-6CABE2854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59245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432</xdr:row>
      <xdr:rowOff>39688</xdr:rowOff>
    </xdr:from>
    <xdr:to>
      <xdr:col>2</xdr:col>
      <xdr:colOff>312738</xdr:colOff>
      <xdr:row>432</xdr:row>
      <xdr:rowOff>293688</xdr:rowOff>
    </xdr:to>
    <xdr:pic>
      <xdr:nvPicPr>
        <xdr:cNvPr id="54671" name="Picture 54670">
          <a:extLst>
            <a:ext uri="{FF2B5EF4-FFF2-40B4-BE49-F238E27FC236}">
              <a16:creationId xmlns:a16="http://schemas.microsoft.com/office/drawing/2014/main" id="{B1A83182-5FAD-91DC-BA27-9154B7C255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62579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432</xdr:row>
      <xdr:rowOff>39688</xdr:rowOff>
    </xdr:from>
    <xdr:to>
      <xdr:col>6</xdr:col>
      <xdr:colOff>346075</xdr:colOff>
      <xdr:row>432</xdr:row>
      <xdr:rowOff>293688</xdr:rowOff>
    </xdr:to>
    <xdr:pic>
      <xdr:nvPicPr>
        <xdr:cNvPr id="54674" name="Picture 54673">
          <a:extLst>
            <a:ext uri="{FF2B5EF4-FFF2-40B4-BE49-F238E27FC236}">
              <a16:creationId xmlns:a16="http://schemas.microsoft.com/office/drawing/2014/main" id="{055BCC38-CD79-FD16-98B1-5EA0A8BDF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62579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433</xdr:row>
      <xdr:rowOff>39688</xdr:rowOff>
    </xdr:from>
    <xdr:to>
      <xdr:col>2</xdr:col>
      <xdr:colOff>312738</xdr:colOff>
      <xdr:row>433</xdr:row>
      <xdr:rowOff>293688</xdr:rowOff>
    </xdr:to>
    <xdr:pic>
      <xdr:nvPicPr>
        <xdr:cNvPr id="54677" name="Picture 54676">
          <a:extLst>
            <a:ext uri="{FF2B5EF4-FFF2-40B4-BE49-F238E27FC236}">
              <a16:creationId xmlns:a16="http://schemas.microsoft.com/office/drawing/2014/main" id="{E110C32D-8107-6F62-A9A9-1E91D863B0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65913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433</xdr:row>
      <xdr:rowOff>39688</xdr:rowOff>
    </xdr:from>
    <xdr:to>
      <xdr:col>6</xdr:col>
      <xdr:colOff>346075</xdr:colOff>
      <xdr:row>433</xdr:row>
      <xdr:rowOff>293688</xdr:rowOff>
    </xdr:to>
    <xdr:pic>
      <xdr:nvPicPr>
        <xdr:cNvPr id="54680" name="Picture 54679">
          <a:extLst>
            <a:ext uri="{FF2B5EF4-FFF2-40B4-BE49-F238E27FC236}">
              <a16:creationId xmlns:a16="http://schemas.microsoft.com/office/drawing/2014/main" id="{A0192411-D571-56A2-CE7B-E5D7AFEF9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65913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434</xdr:row>
      <xdr:rowOff>39688</xdr:rowOff>
    </xdr:from>
    <xdr:to>
      <xdr:col>2</xdr:col>
      <xdr:colOff>312738</xdr:colOff>
      <xdr:row>434</xdr:row>
      <xdr:rowOff>293688</xdr:rowOff>
    </xdr:to>
    <xdr:pic>
      <xdr:nvPicPr>
        <xdr:cNvPr id="54683" name="Picture 54682">
          <a:extLst>
            <a:ext uri="{FF2B5EF4-FFF2-40B4-BE49-F238E27FC236}">
              <a16:creationId xmlns:a16="http://schemas.microsoft.com/office/drawing/2014/main" id="{0FF39397-6909-3E4B-5A41-38E35CE86C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69247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149225</xdr:colOff>
      <xdr:row>434</xdr:row>
      <xdr:rowOff>39688</xdr:rowOff>
    </xdr:from>
    <xdr:to>
      <xdr:col>6</xdr:col>
      <xdr:colOff>288925</xdr:colOff>
      <xdr:row>434</xdr:row>
      <xdr:rowOff>293688</xdr:rowOff>
    </xdr:to>
    <xdr:pic>
      <xdr:nvPicPr>
        <xdr:cNvPr id="54686" name="Picture 54685">
          <a:extLst>
            <a:ext uri="{FF2B5EF4-FFF2-40B4-BE49-F238E27FC236}">
              <a16:creationId xmlns:a16="http://schemas.microsoft.com/office/drawing/2014/main" id="{A281334D-41C0-6C0C-B976-D8FEA28B0F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450" y="146924713"/>
          <a:ext cx="139700" cy="254000"/>
        </a:xfrm>
        <a:prstGeom prst="rect">
          <a:avLst/>
        </a:prstGeom>
      </xdr:spPr>
    </xdr:pic>
    <xdr:clientData/>
  </xdr:twoCellAnchor>
  <xdr:twoCellAnchor>
    <xdr:from>
      <xdr:col>2</xdr:col>
      <xdr:colOff>82366</xdr:colOff>
      <xdr:row>435</xdr:row>
      <xdr:rowOff>39688</xdr:rowOff>
    </xdr:from>
    <xdr:to>
      <xdr:col>2</xdr:col>
      <xdr:colOff>289110</xdr:colOff>
      <xdr:row>435</xdr:row>
      <xdr:rowOff>293688</xdr:rowOff>
    </xdr:to>
    <xdr:pic>
      <xdr:nvPicPr>
        <xdr:cNvPr id="54689" name="Picture 54688">
          <a:extLst>
            <a:ext uri="{FF2B5EF4-FFF2-40B4-BE49-F238E27FC236}">
              <a16:creationId xmlns:a16="http://schemas.microsoft.com/office/drawing/2014/main" id="{C9899A5B-8B37-DC26-7117-D149E19CC9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391" y="147258088"/>
          <a:ext cx="206744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435</xdr:row>
      <xdr:rowOff>39688</xdr:rowOff>
    </xdr:from>
    <xdr:to>
      <xdr:col>6</xdr:col>
      <xdr:colOff>346075</xdr:colOff>
      <xdr:row>435</xdr:row>
      <xdr:rowOff>293688</xdr:rowOff>
    </xdr:to>
    <xdr:pic>
      <xdr:nvPicPr>
        <xdr:cNvPr id="54692" name="Picture 54691">
          <a:extLst>
            <a:ext uri="{FF2B5EF4-FFF2-40B4-BE49-F238E27FC236}">
              <a16:creationId xmlns:a16="http://schemas.microsoft.com/office/drawing/2014/main" id="{7AE4DDF2-7300-AF1B-09E5-96FF6D06EE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72580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436</xdr:row>
      <xdr:rowOff>39688</xdr:rowOff>
    </xdr:from>
    <xdr:to>
      <xdr:col>2</xdr:col>
      <xdr:colOff>312738</xdr:colOff>
      <xdr:row>436</xdr:row>
      <xdr:rowOff>293688</xdr:rowOff>
    </xdr:to>
    <xdr:pic>
      <xdr:nvPicPr>
        <xdr:cNvPr id="54695" name="Picture 54694">
          <a:extLst>
            <a:ext uri="{FF2B5EF4-FFF2-40B4-BE49-F238E27FC236}">
              <a16:creationId xmlns:a16="http://schemas.microsoft.com/office/drawing/2014/main" id="{6F13F6E9-53E2-3BAF-A3FA-B2A9E784E3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75914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436</xdr:row>
      <xdr:rowOff>39688</xdr:rowOff>
    </xdr:from>
    <xdr:to>
      <xdr:col>6</xdr:col>
      <xdr:colOff>346075</xdr:colOff>
      <xdr:row>436</xdr:row>
      <xdr:rowOff>293688</xdr:rowOff>
    </xdr:to>
    <xdr:pic>
      <xdr:nvPicPr>
        <xdr:cNvPr id="54698" name="Picture 54697">
          <a:extLst>
            <a:ext uri="{FF2B5EF4-FFF2-40B4-BE49-F238E27FC236}">
              <a16:creationId xmlns:a16="http://schemas.microsoft.com/office/drawing/2014/main" id="{95AFD2B9-A45D-C5E3-57DA-66880860B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75914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437</xdr:row>
      <xdr:rowOff>39688</xdr:rowOff>
    </xdr:from>
    <xdr:to>
      <xdr:col>2</xdr:col>
      <xdr:colOff>312738</xdr:colOff>
      <xdr:row>437</xdr:row>
      <xdr:rowOff>293688</xdr:rowOff>
    </xdr:to>
    <xdr:pic>
      <xdr:nvPicPr>
        <xdr:cNvPr id="54701" name="Picture 54700">
          <a:extLst>
            <a:ext uri="{FF2B5EF4-FFF2-40B4-BE49-F238E27FC236}">
              <a16:creationId xmlns:a16="http://schemas.microsoft.com/office/drawing/2014/main" id="{E2B15FBB-51F3-EC47-C038-2376BC8638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79248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437</xdr:row>
      <xdr:rowOff>39688</xdr:rowOff>
    </xdr:from>
    <xdr:to>
      <xdr:col>6</xdr:col>
      <xdr:colOff>346075</xdr:colOff>
      <xdr:row>437</xdr:row>
      <xdr:rowOff>293688</xdr:rowOff>
    </xdr:to>
    <xdr:pic>
      <xdr:nvPicPr>
        <xdr:cNvPr id="54704" name="Picture 54703">
          <a:extLst>
            <a:ext uri="{FF2B5EF4-FFF2-40B4-BE49-F238E27FC236}">
              <a16:creationId xmlns:a16="http://schemas.microsoft.com/office/drawing/2014/main" id="{E4C4B889-4510-B8AB-C8D2-41501F4C20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79248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438</xdr:row>
      <xdr:rowOff>39688</xdr:rowOff>
    </xdr:from>
    <xdr:to>
      <xdr:col>2</xdr:col>
      <xdr:colOff>312738</xdr:colOff>
      <xdr:row>438</xdr:row>
      <xdr:rowOff>293688</xdr:rowOff>
    </xdr:to>
    <xdr:pic>
      <xdr:nvPicPr>
        <xdr:cNvPr id="54707" name="Picture 54706">
          <a:extLst>
            <a:ext uri="{FF2B5EF4-FFF2-40B4-BE49-F238E27FC236}">
              <a16:creationId xmlns:a16="http://schemas.microsoft.com/office/drawing/2014/main" id="{30B221CD-C08B-C86E-1BE1-A0B9CF8856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82582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108832</xdr:colOff>
      <xdr:row>438</xdr:row>
      <xdr:rowOff>39688</xdr:rowOff>
    </xdr:from>
    <xdr:to>
      <xdr:col>6</xdr:col>
      <xdr:colOff>329318</xdr:colOff>
      <xdr:row>438</xdr:row>
      <xdr:rowOff>293688</xdr:rowOff>
    </xdr:to>
    <xdr:pic>
      <xdr:nvPicPr>
        <xdr:cNvPr id="54710" name="Picture 54709">
          <a:extLst>
            <a:ext uri="{FF2B5EF4-FFF2-40B4-BE49-F238E27FC236}">
              <a16:creationId xmlns:a16="http://schemas.microsoft.com/office/drawing/2014/main" id="{0F1A92D6-C68D-8B75-5762-0D6E8725C8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6057" y="148258213"/>
          <a:ext cx="220486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439</xdr:row>
      <xdr:rowOff>39688</xdr:rowOff>
    </xdr:from>
    <xdr:to>
      <xdr:col>2</xdr:col>
      <xdr:colOff>312738</xdr:colOff>
      <xdr:row>439</xdr:row>
      <xdr:rowOff>293688</xdr:rowOff>
    </xdr:to>
    <xdr:pic>
      <xdr:nvPicPr>
        <xdr:cNvPr id="54713" name="Picture 54712">
          <a:extLst>
            <a:ext uri="{FF2B5EF4-FFF2-40B4-BE49-F238E27FC236}">
              <a16:creationId xmlns:a16="http://schemas.microsoft.com/office/drawing/2014/main" id="{A1BA1C3E-E925-21FC-758A-20B9B53DEF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85915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439</xdr:row>
      <xdr:rowOff>39688</xdr:rowOff>
    </xdr:from>
    <xdr:to>
      <xdr:col>6</xdr:col>
      <xdr:colOff>346075</xdr:colOff>
      <xdr:row>439</xdr:row>
      <xdr:rowOff>293688</xdr:rowOff>
    </xdr:to>
    <xdr:pic>
      <xdr:nvPicPr>
        <xdr:cNvPr id="54716" name="Picture 54715">
          <a:extLst>
            <a:ext uri="{FF2B5EF4-FFF2-40B4-BE49-F238E27FC236}">
              <a16:creationId xmlns:a16="http://schemas.microsoft.com/office/drawing/2014/main" id="{2759E74A-55B7-3C03-C004-1E5C50F87D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85915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443</xdr:row>
      <xdr:rowOff>39688</xdr:rowOff>
    </xdr:from>
    <xdr:to>
      <xdr:col>2</xdr:col>
      <xdr:colOff>312738</xdr:colOff>
      <xdr:row>443</xdr:row>
      <xdr:rowOff>293688</xdr:rowOff>
    </xdr:to>
    <xdr:pic>
      <xdr:nvPicPr>
        <xdr:cNvPr id="54719" name="Picture 54718">
          <a:extLst>
            <a:ext uri="{FF2B5EF4-FFF2-40B4-BE49-F238E27FC236}">
              <a16:creationId xmlns:a16="http://schemas.microsoft.com/office/drawing/2014/main" id="{C89D9049-9892-658E-0ECD-7A1E71A5E0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499917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443</xdr:row>
      <xdr:rowOff>39688</xdr:rowOff>
    </xdr:from>
    <xdr:to>
      <xdr:col>6</xdr:col>
      <xdr:colOff>346075</xdr:colOff>
      <xdr:row>443</xdr:row>
      <xdr:rowOff>293688</xdr:rowOff>
    </xdr:to>
    <xdr:pic>
      <xdr:nvPicPr>
        <xdr:cNvPr id="54722" name="Picture 54721">
          <a:extLst>
            <a:ext uri="{FF2B5EF4-FFF2-40B4-BE49-F238E27FC236}">
              <a16:creationId xmlns:a16="http://schemas.microsoft.com/office/drawing/2014/main" id="{954503D6-E0C8-7E6D-9584-AE8E2C35A6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499917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444</xdr:row>
      <xdr:rowOff>39688</xdr:rowOff>
    </xdr:from>
    <xdr:to>
      <xdr:col>2</xdr:col>
      <xdr:colOff>312738</xdr:colOff>
      <xdr:row>444</xdr:row>
      <xdr:rowOff>293688</xdr:rowOff>
    </xdr:to>
    <xdr:pic>
      <xdr:nvPicPr>
        <xdr:cNvPr id="54725" name="Picture 54724">
          <a:extLst>
            <a:ext uri="{FF2B5EF4-FFF2-40B4-BE49-F238E27FC236}">
              <a16:creationId xmlns:a16="http://schemas.microsoft.com/office/drawing/2014/main" id="{BF8E5D04-34A1-436B-F0E9-DA10FE738C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503251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115703</xdr:colOff>
      <xdr:row>444</xdr:row>
      <xdr:rowOff>39688</xdr:rowOff>
    </xdr:from>
    <xdr:to>
      <xdr:col>6</xdr:col>
      <xdr:colOff>322447</xdr:colOff>
      <xdr:row>444</xdr:row>
      <xdr:rowOff>293688</xdr:rowOff>
    </xdr:to>
    <xdr:pic>
      <xdr:nvPicPr>
        <xdr:cNvPr id="54728" name="Picture 54727">
          <a:extLst>
            <a:ext uri="{FF2B5EF4-FFF2-40B4-BE49-F238E27FC236}">
              <a16:creationId xmlns:a16="http://schemas.microsoft.com/office/drawing/2014/main" id="{D033D1D7-9A07-9DD3-8193-26DF4AFFD9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928" y="150325138"/>
          <a:ext cx="206744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445</xdr:row>
      <xdr:rowOff>39688</xdr:rowOff>
    </xdr:from>
    <xdr:to>
      <xdr:col>2</xdr:col>
      <xdr:colOff>312738</xdr:colOff>
      <xdr:row>445</xdr:row>
      <xdr:rowOff>293688</xdr:rowOff>
    </xdr:to>
    <xdr:pic>
      <xdr:nvPicPr>
        <xdr:cNvPr id="54731" name="Picture 54730">
          <a:extLst>
            <a:ext uri="{FF2B5EF4-FFF2-40B4-BE49-F238E27FC236}">
              <a16:creationId xmlns:a16="http://schemas.microsoft.com/office/drawing/2014/main" id="{486BC4E8-5278-82AA-C47D-3996A4A5B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506585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445</xdr:row>
      <xdr:rowOff>39688</xdr:rowOff>
    </xdr:from>
    <xdr:to>
      <xdr:col>6</xdr:col>
      <xdr:colOff>346075</xdr:colOff>
      <xdr:row>445</xdr:row>
      <xdr:rowOff>293688</xdr:rowOff>
    </xdr:to>
    <xdr:pic>
      <xdr:nvPicPr>
        <xdr:cNvPr id="54734" name="Picture 54733">
          <a:extLst>
            <a:ext uri="{FF2B5EF4-FFF2-40B4-BE49-F238E27FC236}">
              <a16:creationId xmlns:a16="http://schemas.microsoft.com/office/drawing/2014/main" id="{0DBA7576-DEF6-74EE-2C97-D8F184BCD6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06585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75495</xdr:colOff>
      <xdr:row>446</xdr:row>
      <xdr:rowOff>39688</xdr:rowOff>
    </xdr:from>
    <xdr:to>
      <xdr:col>2</xdr:col>
      <xdr:colOff>295981</xdr:colOff>
      <xdr:row>446</xdr:row>
      <xdr:rowOff>293688</xdr:rowOff>
    </xdr:to>
    <xdr:pic>
      <xdr:nvPicPr>
        <xdr:cNvPr id="54737" name="Picture 54736">
          <a:extLst>
            <a:ext uri="{FF2B5EF4-FFF2-40B4-BE49-F238E27FC236}">
              <a16:creationId xmlns:a16="http://schemas.microsoft.com/office/drawing/2014/main" id="{BFA285D6-F880-29A9-89FD-BAB0A44008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520" y="150991888"/>
          <a:ext cx="220486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446</xdr:row>
      <xdr:rowOff>39688</xdr:rowOff>
    </xdr:from>
    <xdr:to>
      <xdr:col>6</xdr:col>
      <xdr:colOff>346075</xdr:colOff>
      <xdr:row>446</xdr:row>
      <xdr:rowOff>293688</xdr:rowOff>
    </xdr:to>
    <xdr:pic>
      <xdr:nvPicPr>
        <xdr:cNvPr id="54740" name="Picture 54739">
          <a:extLst>
            <a:ext uri="{FF2B5EF4-FFF2-40B4-BE49-F238E27FC236}">
              <a16:creationId xmlns:a16="http://schemas.microsoft.com/office/drawing/2014/main" id="{4845BD60-6982-C375-45F8-2164C762A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09918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447</xdr:row>
      <xdr:rowOff>39688</xdr:rowOff>
    </xdr:from>
    <xdr:to>
      <xdr:col>2</xdr:col>
      <xdr:colOff>312738</xdr:colOff>
      <xdr:row>447</xdr:row>
      <xdr:rowOff>293688</xdr:rowOff>
    </xdr:to>
    <xdr:pic>
      <xdr:nvPicPr>
        <xdr:cNvPr id="54743" name="Picture 54742">
          <a:extLst>
            <a:ext uri="{FF2B5EF4-FFF2-40B4-BE49-F238E27FC236}">
              <a16:creationId xmlns:a16="http://schemas.microsoft.com/office/drawing/2014/main" id="{41D4DF0C-EC72-BD53-FF24-22E2D0290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513252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447</xdr:row>
      <xdr:rowOff>39688</xdr:rowOff>
    </xdr:from>
    <xdr:to>
      <xdr:col>6</xdr:col>
      <xdr:colOff>346075</xdr:colOff>
      <xdr:row>447</xdr:row>
      <xdr:rowOff>293688</xdr:rowOff>
    </xdr:to>
    <xdr:pic>
      <xdr:nvPicPr>
        <xdr:cNvPr id="54746" name="Picture 54745">
          <a:extLst>
            <a:ext uri="{FF2B5EF4-FFF2-40B4-BE49-F238E27FC236}">
              <a16:creationId xmlns:a16="http://schemas.microsoft.com/office/drawing/2014/main" id="{28D3F367-FA16-B48F-7D25-1B1ECB424F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13252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115888</xdr:colOff>
      <xdr:row>448</xdr:row>
      <xdr:rowOff>39688</xdr:rowOff>
    </xdr:from>
    <xdr:to>
      <xdr:col>2</xdr:col>
      <xdr:colOff>255588</xdr:colOff>
      <xdr:row>448</xdr:row>
      <xdr:rowOff>293688</xdr:rowOff>
    </xdr:to>
    <xdr:pic>
      <xdr:nvPicPr>
        <xdr:cNvPr id="54749" name="Picture 54748">
          <a:extLst>
            <a:ext uri="{FF2B5EF4-FFF2-40B4-BE49-F238E27FC236}">
              <a16:creationId xmlns:a16="http://schemas.microsoft.com/office/drawing/2014/main" id="{50CBB1B8-3EC6-815D-1440-6B5BC30F4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3913" y="151658638"/>
          <a:ext cx="1397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448</xdr:row>
      <xdr:rowOff>39688</xdr:rowOff>
    </xdr:from>
    <xdr:to>
      <xdr:col>6</xdr:col>
      <xdr:colOff>346075</xdr:colOff>
      <xdr:row>448</xdr:row>
      <xdr:rowOff>293688</xdr:rowOff>
    </xdr:to>
    <xdr:pic>
      <xdr:nvPicPr>
        <xdr:cNvPr id="54752" name="Picture 54751">
          <a:extLst>
            <a:ext uri="{FF2B5EF4-FFF2-40B4-BE49-F238E27FC236}">
              <a16:creationId xmlns:a16="http://schemas.microsoft.com/office/drawing/2014/main" id="{8831D5DD-B98D-A115-6488-0EA490C83E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16586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449</xdr:row>
      <xdr:rowOff>39688</xdr:rowOff>
    </xdr:from>
    <xdr:to>
      <xdr:col>2</xdr:col>
      <xdr:colOff>312738</xdr:colOff>
      <xdr:row>449</xdr:row>
      <xdr:rowOff>293688</xdr:rowOff>
    </xdr:to>
    <xdr:pic>
      <xdr:nvPicPr>
        <xdr:cNvPr id="54755" name="Picture 54754">
          <a:extLst>
            <a:ext uri="{FF2B5EF4-FFF2-40B4-BE49-F238E27FC236}">
              <a16:creationId xmlns:a16="http://schemas.microsoft.com/office/drawing/2014/main" id="{A0F1735D-DA2F-6ECA-B98B-7DF3A30376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519920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449</xdr:row>
      <xdr:rowOff>39688</xdr:rowOff>
    </xdr:from>
    <xdr:to>
      <xdr:col>6</xdr:col>
      <xdr:colOff>346075</xdr:colOff>
      <xdr:row>449</xdr:row>
      <xdr:rowOff>293688</xdr:rowOff>
    </xdr:to>
    <xdr:pic>
      <xdr:nvPicPr>
        <xdr:cNvPr id="54758" name="Picture 54757">
          <a:extLst>
            <a:ext uri="{FF2B5EF4-FFF2-40B4-BE49-F238E27FC236}">
              <a16:creationId xmlns:a16="http://schemas.microsoft.com/office/drawing/2014/main" id="{3A1BBA55-7BFF-98C0-ACB9-2A0035499A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19920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33572</xdr:colOff>
      <xdr:row>450</xdr:row>
      <xdr:rowOff>39688</xdr:rowOff>
    </xdr:from>
    <xdr:to>
      <xdr:col>2</xdr:col>
      <xdr:colOff>337904</xdr:colOff>
      <xdr:row>450</xdr:row>
      <xdr:rowOff>293688</xdr:rowOff>
    </xdr:to>
    <xdr:pic>
      <xdr:nvPicPr>
        <xdr:cNvPr id="54761" name="Picture 54760">
          <a:extLst>
            <a:ext uri="{FF2B5EF4-FFF2-40B4-BE49-F238E27FC236}">
              <a16:creationId xmlns:a16="http://schemas.microsoft.com/office/drawing/2014/main" id="{1C60DA26-5568-CC01-DA6F-8554CE3FCA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597" y="152325388"/>
          <a:ext cx="304332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450</xdr:row>
      <xdr:rowOff>39688</xdr:rowOff>
    </xdr:from>
    <xdr:to>
      <xdr:col>6</xdr:col>
      <xdr:colOff>346075</xdr:colOff>
      <xdr:row>450</xdr:row>
      <xdr:rowOff>293688</xdr:rowOff>
    </xdr:to>
    <xdr:pic>
      <xdr:nvPicPr>
        <xdr:cNvPr id="54764" name="Picture 54763">
          <a:extLst>
            <a:ext uri="{FF2B5EF4-FFF2-40B4-BE49-F238E27FC236}">
              <a16:creationId xmlns:a16="http://schemas.microsoft.com/office/drawing/2014/main" id="{9F830858-0108-84AC-ABD6-734167DE7A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23253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451</xdr:row>
      <xdr:rowOff>39688</xdr:rowOff>
    </xdr:from>
    <xdr:to>
      <xdr:col>2</xdr:col>
      <xdr:colOff>312738</xdr:colOff>
      <xdr:row>451</xdr:row>
      <xdr:rowOff>293688</xdr:rowOff>
    </xdr:to>
    <xdr:pic>
      <xdr:nvPicPr>
        <xdr:cNvPr id="54767" name="Picture 54766">
          <a:extLst>
            <a:ext uri="{FF2B5EF4-FFF2-40B4-BE49-F238E27FC236}">
              <a16:creationId xmlns:a16="http://schemas.microsoft.com/office/drawing/2014/main" id="{1FBB6545-CCD6-6BC8-3804-49C8F08FA9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526587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451</xdr:row>
      <xdr:rowOff>39688</xdr:rowOff>
    </xdr:from>
    <xdr:to>
      <xdr:col>6</xdr:col>
      <xdr:colOff>346075</xdr:colOff>
      <xdr:row>451</xdr:row>
      <xdr:rowOff>293688</xdr:rowOff>
    </xdr:to>
    <xdr:pic>
      <xdr:nvPicPr>
        <xdr:cNvPr id="54770" name="Picture 54769">
          <a:extLst>
            <a:ext uri="{FF2B5EF4-FFF2-40B4-BE49-F238E27FC236}">
              <a16:creationId xmlns:a16="http://schemas.microsoft.com/office/drawing/2014/main" id="{9E42FC90-C371-2E76-3AC6-2C76FCDF3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26587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452</xdr:row>
      <xdr:rowOff>39688</xdr:rowOff>
    </xdr:from>
    <xdr:to>
      <xdr:col>2</xdr:col>
      <xdr:colOff>312738</xdr:colOff>
      <xdr:row>452</xdr:row>
      <xdr:rowOff>293688</xdr:rowOff>
    </xdr:to>
    <xdr:pic>
      <xdr:nvPicPr>
        <xdr:cNvPr id="54773" name="Picture 54772">
          <a:extLst>
            <a:ext uri="{FF2B5EF4-FFF2-40B4-BE49-F238E27FC236}">
              <a16:creationId xmlns:a16="http://schemas.microsoft.com/office/drawing/2014/main" id="{66BC7C10-BFA0-5FF2-1089-492F2118A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529921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452</xdr:row>
      <xdr:rowOff>39688</xdr:rowOff>
    </xdr:from>
    <xdr:to>
      <xdr:col>6</xdr:col>
      <xdr:colOff>346075</xdr:colOff>
      <xdr:row>452</xdr:row>
      <xdr:rowOff>293688</xdr:rowOff>
    </xdr:to>
    <xdr:pic>
      <xdr:nvPicPr>
        <xdr:cNvPr id="54776" name="Picture 54775">
          <a:extLst>
            <a:ext uri="{FF2B5EF4-FFF2-40B4-BE49-F238E27FC236}">
              <a16:creationId xmlns:a16="http://schemas.microsoft.com/office/drawing/2014/main" id="{2230C72F-4211-A72F-1F6E-D2B93E738C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29921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456</xdr:row>
      <xdr:rowOff>39688</xdr:rowOff>
    </xdr:from>
    <xdr:to>
      <xdr:col>2</xdr:col>
      <xdr:colOff>312738</xdr:colOff>
      <xdr:row>456</xdr:row>
      <xdr:rowOff>293688</xdr:rowOff>
    </xdr:to>
    <xdr:pic>
      <xdr:nvPicPr>
        <xdr:cNvPr id="54779" name="Picture 54778">
          <a:extLst>
            <a:ext uri="{FF2B5EF4-FFF2-40B4-BE49-F238E27FC236}">
              <a16:creationId xmlns:a16="http://schemas.microsoft.com/office/drawing/2014/main" id="{F5BE9E46-BFEC-D7CC-EA45-9F85D729B7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543923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456</xdr:row>
      <xdr:rowOff>39688</xdr:rowOff>
    </xdr:from>
    <xdr:to>
      <xdr:col>6</xdr:col>
      <xdr:colOff>346075</xdr:colOff>
      <xdr:row>456</xdr:row>
      <xdr:rowOff>293688</xdr:rowOff>
    </xdr:to>
    <xdr:pic>
      <xdr:nvPicPr>
        <xdr:cNvPr id="54782" name="Picture 54781">
          <a:extLst>
            <a:ext uri="{FF2B5EF4-FFF2-40B4-BE49-F238E27FC236}">
              <a16:creationId xmlns:a16="http://schemas.microsoft.com/office/drawing/2014/main" id="{BF271690-4083-1C3C-E58F-C98F19F471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43923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457</xdr:row>
      <xdr:rowOff>39688</xdr:rowOff>
    </xdr:from>
    <xdr:to>
      <xdr:col>2</xdr:col>
      <xdr:colOff>312738</xdr:colOff>
      <xdr:row>457</xdr:row>
      <xdr:rowOff>293688</xdr:rowOff>
    </xdr:to>
    <xdr:pic>
      <xdr:nvPicPr>
        <xdr:cNvPr id="54785" name="Picture 54784">
          <a:extLst>
            <a:ext uri="{FF2B5EF4-FFF2-40B4-BE49-F238E27FC236}">
              <a16:creationId xmlns:a16="http://schemas.microsoft.com/office/drawing/2014/main" id="{51CD7493-892E-EA9D-7B62-B0BC7D55E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547256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457</xdr:row>
      <xdr:rowOff>39688</xdr:rowOff>
    </xdr:from>
    <xdr:to>
      <xdr:col>6</xdr:col>
      <xdr:colOff>346075</xdr:colOff>
      <xdr:row>457</xdr:row>
      <xdr:rowOff>293688</xdr:rowOff>
    </xdr:to>
    <xdr:pic>
      <xdr:nvPicPr>
        <xdr:cNvPr id="54788" name="Picture 54787">
          <a:extLst>
            <a:ext uri="{FF2B5EF4-FFF2-40B4-BE49-F238E27FC236}">
              <a16:creationId xmlns:a16="http://schemas.microsoft.com/office/drawing/2014/main" id="{5DE91D6F-C672-1D31-59A6-A0049A64CC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47256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458</xdr:row>
      <xdr:rowOff>39688</xdr:rowOff>
    </xdr:from>
    <xdr:to>
      <xdr:col>2</xdr:col>
      <xdr:colOff>312738</xdr:colOff>
      <xdr:row>458</xdr:row>
      <xdr:rowOff>293688</xdr:rowOff>
    </xdr:to>
    <xdr:pic>
      <xdr:nvPicPr>
        <xdr:cNvPr id="54791" name="Picture 54790">
          <a:extLst>
            <a:ext uri="{FF2B5EF4-FFF2-40B4-BE49-F238E27FC236}">
              <a16:creationId xmlns:a16="http://schemas.microsoft.com/office/drawing/2014/main" id="{A1429CD0-6875-0810-E845-A6DC59E18E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550590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458</xdr:row>
      <xdr:rowOff>39688</xdr:rowOff>
    </xdr:from>
    <xdr:to>
      <xdr:col>6</xdr:col>
      <xdr:colOff>346075</xdr:colOff>
      <xdr:row>458</xdr:row>
      <xdr:rowOff>293688</xdr:rowOff>
    </xdr:to>
    <xdr:pic>
      <xdr:nvPicPr>
        <xdr:cNvPr id="54794" name="Picture 54793">
          <a:extLst>
            <a:ext uri="{FF2B5EF4-FFF2-40B4-BE49-F238E27FC236}">
              <a16:creationId xmlns:a16="http://schemas.microsoft.com/office/drawing/2014/main" id="{708A6EBA-5BB6-0AF6-AA37-BD02027B37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50590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459</xdr:row>
      <xdr:rowOff>39688</xdr:rowOff>
    </xdr:from>
    <xdr:to>
      <xdr:col>2</xdr:col>
      <xdr:colOff>312738</xdr:colOff>
      <xdr:row>459</xdr:row>
      <xdr:rowOff>293688</xdr:rowOff>
    </xdr:to>
    <xdr:pic>
      <xdr:nvPicPr>
        <xdr:cNvPr id="54797" name="Picture 54796">
          <a:extLst>
            <a:ext uri="{FF2B5EF4-FFF2-40B4-BE49-F238E27FC236}">
              <a16:creationId xmlns:a16="http://schemas.microsoft.com/office/drawing/2014/main" id="{0673C798-7F7C-3E62-65AD-BC5C6CD5B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553924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459</xdr:row>
      <xdr:rowOff>39688</xdr:rowOff>
    </xdr:from>
    <xdr:to>
      <xdr:col>6</xdr:col>
      <xdr:colOff>346075</xdr:colOff>
      <xdr:row>459</xdr:row>
      <xdr:rowOff>293688</xdr:rowOff>
    </xdr:to>
    <xdr:pic>
      <xdr:nvPicPr>
        <xdr:cNvPr id="54800" name="Picture 54799">
          <a:extLst>
            <a:ext uri="{FF2B5EF4-FFF2-40B4-BE49-F238E27FC236}">
              <a16:creationId xmlns:a16="http://schemas.microsoft.com/office/drawing/2014/main" id="{02DE766F-1B5F-7324-9700-46579AB69B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53924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460</xdr:row>
      <xdr:rowOff>39688</xdr:rowOff>
    </xdr:from>
    <xdr:to>
      <xdr:col>2</xdr:col>
      <xdr:colOff>312738</xdr:colOff>
      <xdr:row>460</xdr:row>
      <xdr:rowOff>293688</xdr:rowOff>
    </xdr:to>
    <xdr:pic>
      <xdr:nvPicPr>
        <xdr:cNvPr id="54803" name="Picture 54802">
          <a:extLst>
            <a:ext uri="{FF2B5EF4-FFF2-40B4-BE49-F238E27FC236}">
              <a16:creationId xmlns:a16="http://schemas.microsoft.com/office/drawing/2014/main" id="{B79E7F15-7722-7754-1B9E-1FFB0757E5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557258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460</xdr:row>
      <xdr:rowOff>39688</xdr:rowOff>
    </xdr:from>
    <xdr:to>
      <xdr:col>6</xdr:col>
      <xdr:colOff>346075</xdr:colOff>
      <xdr:row>460</xdr:row>
      <xdr:rowOff>293688</xdr:rowOff>
    </xdr:to>
    <xdr:pic>
      <xdr:nvPicPr>
        <xdr:cNvPr id="54806" name="Picture 54805">
          <a:extLst>
            <a:ext uri="{FF2B5EF4-FFF2-40B4-BE49-F238E27FC236}">
              <a16:creationId xmlns:a16="http://schemas.microsoft.com/office/drawing/2014/main" id="{384C2AF9-88E7-A790-5EDF-DAE4830603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57258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461</xdr:row>
      <xdr:rowOff>39688</xdr:rowOff>
    </xdr:from>
    <xdr:to>
      <xdr:col>2</xdr:col>
      <xdr:colOff>312738</xdr:colOff>
      <xdr:row>461</xdr:row>
      <xdr:rowOff>293688</xdr:rowOff>
    </xdr:to>
    <xdr:pic>
      <xdr:nvPicPr>
        <xdr:cNvPr id="54809" name="Picture 54808">
          <a:extLst>
            <a:ext uri="{FF2B5EF4-FFF2-40B4-BE49-F238E27FC236}">
              <a16:creationId xmlns:a16="http://schemas.microsoft.com/office/drawing/2014/main" id="{A1040DD0-018F-0EF4-BDBE-4C93F72507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560591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461</xdr:row>
      <xdr:rowOff>39688</xdr:rowOff>
    </xdr:from>
    <xdr:to>
      <xdr:col>6</xdr:col>
      <xdr:colOff>346075</xdr:colOff>
      <xdr:row>461</xdr:row>
      <xdr:rowOff>293688</xdr:rowOff>
    </xdr:to>
    <xdr:pic>
      <xdr:nvPicPr>
        <xdr:cNvPr id="54812" name="Picture 54811">
          <a:extLst>
            <a:ext uri="{FF2B5EF4-FFF2-40B4-BE49-F238E27FC236}">
              <a16:creationId xmlns:a16="http://schemas.microsoft.com/office/drawing/2014/main" id="{3E71863A-A6D0-1BC3-809A-E6BADB136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60591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82366</xdr:colOff>
      <xdr:row>462</xdr:row>
      <xdr:rowOff>39688</xdr:rowOff>
    </xdr:from>
    <xdr:to>
      <xdr:col>2</xdr:col>
      <xdr:colOff>289110</xdr:colOff>
      <xdr:row>462</xdr:row>
      <xdr:rowOff>293688</xdr:rowOff>
    </xdr:to>
    <xdr:pic>
      <xdr:nvPicPr>
        <xdr:cNvPr id="54815" name="Picture 54814">
          <a:extLst>
            <a:ext uri="{FF2B5EF4-FFF2-40B4-BE49-F238E27FC236}">
              <a16:creationId xmlns:a16="http://schemas.microsoft.com/office/drawing/2014/main" id="{8A915F07-0F8B-9AC5-DBA6-9868DF9C8E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391" y="156392563"/>
          <a:ext cx="206744" cy="254000"/>
        </a:xfrm>
        <a:prstGeom prst="rect">
          <a:avLst/>
        </a:prstGeom>
      </xdr:spPr>
    </xdr:pic>
    <xdr:clientData/>
  </xdr:twoCellAnchor>
  <xdr:twoCellAnchor>
    <xdr:from>
      <xdr:col>6</xdr:col>
      <xdr:colOff>108832</xdr:colOff>
      <xdr:row>462</xdr:row>
      <xdr:rowOff>39688</xdr:rowOff>
    </xdr:from>
    <xdr:to>
      <xdr:col>6</xdr:col>
      <xdr:colOff>329318</xdr:colOff>
      <xdr:row>462</xdr:row>
      <xdr:rowOff>293688</xdr:rowOff>
    </xdr:to>
    <xdr:pic>
      <xdr:nvPicPr>
        <xdr:cNvPr id="54818" name="Picture 54817">
          <a:extLst>
            <a:ext uri="{FF2B5EF4-FFF2-40B4-BE49-F238E27FC236}">
              <a16:creationId xmlns:a16="http://schemas.microsoft.com/office/drawing/2014/main" id="{05C77A1D-D5B8-A56A-BA06-508371C3CB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6057" y="156392563"/>
          <a:ext cx="220486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463</xdr:row>
      <xdr:rowOff>39688</xdr:rowOff>
    </xdr:from>
    <xdr:to>
      <xdr:col>2</xdr:col>
      <xdr:colOff>312738</xdr:colOff>
      <xdr:row>463</xdr:row>
      <xdr:rowOff>293688</xdr:rowOff>
    </xdr:to>
    <xdr:pic>
      <xdr:nvPicPr>
        <xdr:cNvPr id="54821" name="Picture 54820">
          <a:extLst>
            <a:ext uri="{FF2B5EF4-FFF2-40B4-BE49-F238E27FC236}">
              <a16:creationId xmlns:a16="http://schemas.microsoft.com/office/drawing/2014/main" id="{0C7BD5FB-A354-2234-8FDD-CCDAB5D628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567259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149225</xdr:colOff>
      <xdr:row>463</xdr:row>
      <xdr:rowOff>39688</xdr:rowOff>
    </xdr:from>
    <xdr:to>
      <xdr:col>6</xdr:col>
      <xdr:colOff>288925</xdr:colOff>
      <xdr:row>463</xdr:row>
      <xdr:rowOff>293688</xdr:rowOff>
    </xdr:to>
    <xdr:pic>
      <xdr:nvPicPr>
        <xdr:cNvPr id="54824" name="Picture 54823">
          <a:extLst>
            <a:ext uri="{FF2B5EF4-FFF2-40B4-BE49-F238E27FC236}">
              <a16:creationId xmlns:a16="http://schemas.microsoft.com/office/drawing/2014/main" id="{8E009111-987C-3510-9C6B-DF7C7CEF3B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450" y="156725938"/>
          <a:ext cx="1397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464</xdr:row>
      <xdr:rowOff>39688</xdr:rowOff>
    </xdr:from>
    <xdr:to>
      <xdr:col>2</xdr:col>
      <xdr:colOff>312738</xdr:colOff>
      <xdr:row>464</xdr:row>
      <xdr:rowOff>293688</xdr:rowOff>
    </xdr:to>
    <xdr:pic>
      <xdr:nvPicPr>
        <xdr:cNvPr id="54827" name="Picture 54826">
          <a:extLst>
            <a:ext uri="{FF2B5EF4-FFF2-40B4-BE49-F238E27FC236}">
              <a16:creationId xmlns:a16="http://schemas.microsoft.com/office/drawing/2014/main" id="{2CECE8D1-8B0B-9FFA-2EE3-05B92B79B3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570593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464</xdr:row>
      <xdr:rowOff>39688</xdr:rowOff>
    </xdr:from>
    <xdr:to>
      <xdr:col>6</xdr:col>
      <xdr:colOff>346075</xdr:colOff>
      <xdr:row>464</xdr:row>
      <xdr:rowOff>293688</xdr:rowOff>
    </xdr:to>
    <xdr:pic>
      <xdr:nvPicPr>
        <xdr:cNvPr id="54830" name="Picture 54829">
          <a:extLst>
            <a:ext uri="{FF2B5EF4-FFF2-40B4-BE49-F238E27FC236}">
              <a16:creationId xmlns:a16="http://schemas.microsoft.com/office/drawing/2014/main" id="{6B62C2ED-17DA-EE02-1FE1-C30636EAA8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70593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465</xdr:row>
      <xdr:rowOff>39688</xdr:rowOff>
    </xdr:from>
    <xdr:to>
      <xdr:col>2</xdr:col>
      <xdr:colOff>312738</xdr:colOff>
      <xdr:row>465</xdr:row>
      <xdr:rowOff>293688</xdr:rowOff>
    </xdr:to>
    <xdr:pic>
      <xdr:nvPicPr>
        <xdr:cNvPr id="54833" name="Picture 54832">
          <a:extLst>
            <a:ext uri="{FF2B5EF4-FFF2-40B4-BE49-F238E27FC236}">
              <a16:creationId xmlns:a16="http://schemas.microsoft.com/office/drawing/2014/main" id="{1408E584-B965-BD4E-3481-B66461B98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573926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66909</xdr:colOff>
      <xdr:row>465</xdr:row>
      <xdr:rowOff>39688</xdr:rowOff>
    </xdr:from>
    <xdr:to>
      <xdr:col>6</xdr:col>
      <xdr:colOff>371241</xdr:colOff>
      <xdr:row>465</xdr:row>
      <xdr:rowOff>293688</xdr:rowOff>
    </xdr:to>
    <xdr:pic>
      <xdr:nvPicPr>
        <xdr:cNvPr id="54836" name="Picture 54835">
          <a:extLst>
            <a:ext uri="{FF2B5EF4-FFF2-40B4-BE49-F238E27FC236}">
              <a16:creationId xmlns:a16="http://schemas.microsoft.com/office/drawing/2014/main" id="{E5FC1A05-01FD-04C9-385F-C269313F89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4134" y="157392688"/>
          <a:ext cx="304332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469</xdr:row>
      <xdr:rowOff>39688</xdr:rowOff>
    </xdr:from>
    <xdr:to>
      <xdr:col>2</xdr:col>
      <xdr:colOff>312738</xdr:colOff>
      <xdr:row>469</xdr:row>
      <xdr:rowOff>293688</xdr:rowOff>
    </xdr:to>
    <xdr:pic>
      <xdr:nvPicPr>
        <xdr:cNvPr id="54839" name="Picture 54838">
          <a:extLst>
            <a:ext uri="{FF2B5EF4-FFF2-40B4-BE49-F238E27FC236}">
              <a16:creationId xmlns:a16="http://schemas.microsoft.com/office/drawing/2014/main" id="{0E63A5FA-2FD5-2622-5981-8F436F7B90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587928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469</xdr:row>
      <xdr:rowOff>39688</xdr:rowOff>
    </xdr:from>
    <xdr:to>
      <xdr:col>6</xdr:col>
      <xdr:colOff>346075</xdr:colOff>
      <xdr:row>469</xdr:row>
      <xdr:rowOff>293688</xdr:rowOff>
    </xdr:to>
    <xdr:pic>
      <xdr:nvPicPr>
        <xdr:cNvPr id="54842" name="Picture 54841">
          <a:extLst>
            <a:ext uri="{FF2B5EF4-FFF2-40B4-BE49-F238E27FC236}">
              <a16:creationId xmlns:a16="http://schemas.microsoft.com/office/drawing/2014/main" id="{B7269CE8-DD7C-FECF-E0AF-8CA5A6FD73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87928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75495</xdr:colOff>
      <xdr:row>470</xdr:row>
      <xdr:rowOff>39688</xdr:rowOff>
    </xdr:from>
    <xdr:to>
      <xdr:col>2</xdr:col>
      <xdr:colOff>295981</xdr:colOff>
      <xdr:row>470</xdr:row>
      <xdr:rowOff>293688</xdr:rowOff>
    </xdr:to>
    <xdr:pic>
      <xdr:nvPicPr>
        <xdr:cNvPr id="54845" name="Picture 54844">
          <a:extLst>
            <a:ext uri="{FF2B5EF4-FFF2-40B4-BE49-F238E27FC236}">
              <a16:creationId xmlns:a16="http://schemas.microsoft.com/office/drawing/2014/main" id="{FFDD4D4C-C9E0-E91C-6FE3-B73B2575C1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520" y="159126238"/>
          <a:ext cx="220486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470</xdr:row>
      <xdr:rowOff>39688</xdr:rowOff>
    </xdr:from>
    <xdr:to>
      <xdr:col>6</xdr:col>
      <xdr:colOff>346075</xdr:colOff>
      <xdr:row>470</xdr:row>
      <xdr:rowOff>293688</xdr:rowOff>
    </xdr:to>
    <xdr:pic>
      <xdr:nvPicPr>
        <xdr:cNvPr id="54848" name="Picture 54847">
          <a:extLst>
            <a:ext uri="{FF2B5EF4-FFF2-40B4-BE49-F238E27FC236}">
              <a16:creationId xmlns:a16="http://schemas.microsoft.com/office/drawing/2014/main" id="{988F80EA-63C2-9553-0F13-7BB156A4D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91262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471</xdr:row>
      <xdr:rowOff>39688</xdr:rowOff>
    </xdr:from>
    <xdr:to>
      <xdr:col>2</xdr:col>
      <xdr:colOff>312738</xdr:colOff>
      <xdr:row>471</xdr:row>
      <xdr:rowOff>293688</xdr:rowOff>
    </xdr:to>
    <xdr:pic>
      <xdr:nvPicPr>
        <xdr:cNvPr id="54851" name="Picture 54850">
          <a:extLst>
            <a:ext uri="{FF2B5EF4-FFF2-40B4-BE49-F238E27FC236}">
              <a16:creationId xmlns:a16="http://schemas.microsoft.com/office/drawing/2014/main" id="{EEDFEBC6-89F7-A3BA-A26F-CE332B0B2F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594596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471</xdr:row>
      <xdr:rowOff>39688</xdr:rowOff>
    </xdr:from>
    <xdr:to>
      <xdr:col>6</xdr:col>
      <xdr:colOff>346075</xdr:colOff>
      <xdr:row>471</xdr:row>
      <xdr:rowOff>293688</xdr:rowOff>
    </xdr:to>
    <xdr:pic>
      <xdr:nvPicPr>
        <xdr:cNvPr id="54854" name="Picture 54853">
          <a:extLst>
            <a:ext uri="{FF2B5EF4-FFF2-40B4-BE49-F238E27FC236}">
              <a16:creationId xmlns:a16="http://schemas.microsoft.com/office/drawing/2014/main" id="{A5E4FCCC-F39D-DDF9-FD01-A2BB8800E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94596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472</xdr:row>
      <xdr:rowOff>39688</xdr:rowOff>
    </xdr:from>
    <xdr:to>
      <xdr:col>2</xdr:col>
      <xdr:colOff>312738</xdr:colOff>
      <xdr:row>472</xdr:row>
      <xdr:rowOff>293688</xdr:rowOff>
    </xdr:to>
    <xdr:pic>
      <xdr:nvPicPr>
        <xdr:cNvPr id="54857" name="Picture 54856">
          <a:extLst>
            <a:ext uri="{FF2B5EF4-FFF2-40B4-BE49-F238E27FC236}">
              <a16:creationId xmlns:a16="http://schemas.microsoft.com/office/drawing/2014/main" id="{0BEF51D5-0244-1925-6426-781E194347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597929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472</xdr:row>
      <xdr:rowOff>39688</xdr:rowOff>
    </xdr:from>
    <xdr:to>
      <xdr:col>6</xdr:col>
      <xdr:colOff>346075</xdr:colOff>
      <xdr:row>472</xdr:row>
      <xdr:rowOff>293688</xdr:rowOff>
    </xdr:to>
    <xdr:pic>
      <xdr:nvPicPr>
        <xdr:cNvPr id="54860" name="Picture 54859">
          <a:extLst>
            <a:ext uri="{FF2B5EF4-FFF2-40B4-BE49-F238E27FC236}">
              <a16:creationId xmlns:a16="http://schemas.microsoft.com/office/drawing/2014/main" id="{9915FD7E-7EE8-76E7-7CF4-32BDCC43D7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597929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115888</xdr:colOff>
      <xdr:row>473</xdr:row>
      <xdr:rowOff>39688</xdr:rowOff>
    </xdr:from>
    <xdr:to>
      <xdr:col>2</xdr:col>
      <xdr:colOff>255588</xdr:colOff>
      <xdr:row>473</xdr:row>
      <xdr:rowOff>293688</xdr:rowOff>
    </xdr:to>
    <xdr:pic>
      <xdr:nvPicPr>
        <xdr:cNvPr id="54863" name="Picture 54862">
          <a:extLst>
            <a:ext uri="{FF2B5EF4-FFF2-40B4-BE49-F238E27FC236}">
              <a16:creationId xmlns:a16="http://schemas.microsoft.com/office/drawing/2014/main" id="{39872608-D1B7-49CA-36CD-D68B413AC7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3913" y="160126363"/>
          <a:ext cx="1397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473</xdr:row>
      <xdr:rowOff>39688</xdr:rowOff>
    </xdr:from>
    <xdr:to>
      <xdr:col>6</xdr:col>
      <xdr:colOff>346075</xdr:colOff>
      <xdr:row>473</xdr:row>
      <xdr:rowOff>293688</xdr:rowOff>
    </xdr:to>
    <xdr:pic>
      <xdr:nvPicPr>
        <xdr:cNvPr id="54866" name="Picture 54865">
          <a:extLst>
            <a:ext uri="{FF2B5EF4-FFF2-40B4-BE49-F238E27FC236}">
              <a16:creationId xmlns:a16="http://schemas.microsoft.com/office/drawing/2014/main" id="{7BCC58EE-D70E-97B3-682D-507514E5B2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01263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474</xdr:row>
      <xdr:rowOff>39688</xdr:rowOff>
    </xdr:from>
    <xdr:to>
      <xdr:col>2</xdr:col>
      <xdr:colOff>312738</xdr:colOff>
      <xdr:row>474</xdr:row>
      <xdr:rowOff>293688</xdr:rowOff>
    </xdr:to>
    <xdr:pic>
      <xdr:nvPicPr>
        <xdr:cNvPr id="54869" name="Picture 54868">
          <a:extLst>
            <a:ext uri="{FF2B5EF4-FFF2-40B4-BE49-F238E27FC236}">
              <a16:creationId xmlns:a16="http://schemas.microsoft.com/office/drawing/2014/main" id="{B96CA553-E5A2-700F-8678-5C2644C77F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04597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474</xdr:row>
      <xdr:rowOff>39688</xdr:rowOff>
    </xdr:from>
    <xdr:to>
      <xdr:col>6</xdr:col>
      <xdr:colOff>346075</xdr:colOff>
      <xdr:row>474</xdr:row>
      <xdr:rowOff>293688</xdr:rowOff>
    </xdr:to>
    <xdr:pic>
      <xdr:nvPicPr>
        <xdr:cNvPr id="54872" name="Picture 54871">
          <a:extLst>
            <a:ext uri="{FF2B5EF4-FFF2-40B4-BE49-F238E27FC236}">
              <a16:creationId xmlns:a16="http://schemas.microsoft.com/office/drawing/2014/main" id="{76729FD2-60D5-9B06-EBFD-DF765BFF29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04597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475</xdr:row>
      <xdr:rowOff>39688</xdr:rowOff>
    </xdr:from>
    <xdr:to>
      <xdr:col>2</xdr:col>
      <xdr:colOff>312738</xdr:colOff>
      <xdr:row>475</xdr:row>
      <xdr:rowOff>293688</xdr:rowOff>
    </xdr:to>
    <xdr:pic>
      <xdr:nvPicPr>
        <xdr:cNvPr id="54875" name="Picture 54874">
          <a:extLst>
            <a:ext uri="{FF2B5EF4-FFF2-40B4-BE49-F238E27FC236}">
              <a16:creationId xmlns:a16="http://schemas.microsoft.com/office/drawing/2014/main" id="{D40364BB-0FCA-6406-E02D-BA649DA73C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07931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475</xdr:row>
      <xdr:rowOff>39688</xdr:rowOff>
    </xdr:from>
    <xdr:to>
      <xdr:col>6</xdr:col>
      <xdr:colOff>346075</xdr:colOff>
      <xdr:row>475</xdr:row>
      <xdr:rowOff>293688</xdr:rowOff>
    </xdr:to>
    <xdr:pic>
      <xdr:nvPicPr>
        <xdr:cNvPr id="54878" name="Picture 54877">
          <a:extLst>
            <a:ext uri="{FF2B5EF4-FFF2-40B4-BE49-F238E27FC236}">
              <a16:creationId xmlns:a16="http://schemas.microsoft.com/office/drawing/2014/main" id="{F7EAA825-3FC9-DCB4-EB3E-F48BE7F950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07931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476</xdr:row>
      <xdr:rowOff>39688</xdr:rowOff>
    </xdr:from>
    <xdr:to>
      <xdr:col>2</xdr:col>
      <xdr:colOff>312738</xdr:colOff>
      <xdr:row>476</xdr:row>
      <xdr:rowOff>293688</xdr:rowOff>
    </xdr:to>
    <xdr:pic>
      <xdr:nvPicPr>
        <xdr:cNvPr id="54881" name="Picture 54880">
          <a:extLst>
            <a:ext uri="{FF2B5EF4-FFF2-40B4-BE49-F238E27FC236}">
              <a16:creationId xmlns:a16="http://schemas.microsoft.com/office/drawing/2014/main" id="{BBE68C74-188A-2DBC-F425-68A9A4DA14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11264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115703</xdr:colOff>
      <xdr:row>476</xdr:row>
      <xdr:rowOff>39688</xdr:rowOff>
    </xdr:from>
    <xdr:to>
      <xdr:col>6</xdr:col>
      <xdr:colOff>322447</xdr:colOff>
      <xdr:row>476</xdr:row>
      <xdr:rowOff>293688</xdr:rowOff>
    </xdr:to>
    <xdr:pic>
      <xdr:nvPicPr>
        <xdr:cNvPr id="54884" name="Picture 54883">
          <a:extLst>
            <a:ext uri="{FF2B5EF4-FFF2-40B4-BE49-F238E27FC236}">
              <a16:creationId xmlns:a16="http://schemas.microsoft.com/office/drawing/2014/main" id="{C9F60E9D-C64C-D66C-CB0A-95B1A9A82B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928" y="161126488"/>
          <a:ext cx="206744" cy="254000"/>
        </a:xfrm>
        <a:prstGeom prst="rect">
          <a:avLst/>
        </a:prstGeom>
      </xdr:spPr>
    </xdr:pic>
    <xdr:clientData/>
  </xdr:twoCellAnchor>
  <xdr:twoCellAnchor>
    <xdr:from>
      <xdr:col>2</xdr:col>
      <xdr:colOff>33572</xdr:colOff>
      <xdr:row>477</xdr:row>
      <xdr:rowOff>39688</xdr:rowOff>
    </xdr:from>
    <xdr:to>
      <xdr:col>2</xdr:col>
      <xdr:colOff>337904</xdr:colOff>
      <xdr:row>477</xdr:row>
      <xdr:rowOff>293688</xdr:rowOff>
    </xdr:to>
    <xdr:pic>
      <xdr:nvPicPr>
        <xdr:cNvPr id="54887" name="Picture 54886">
          <a:extLst>
            <a:ext uri="{FF2B5EF4-FFF2-40B4-BE49-F238E27FC236}">
              <a16:creationId xmlns:a16="http://schemas.microsoft.com/office/drawing/2014/main" id="{AFAAD2A0-88A9-51EB-E959-E17EEDEA17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597" y="161459863"/>
          <a:ext cx="304332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477</xdr:row>
      <xdr:rowOff>39688</xdr:rowOff>
    </xdr:from>
    <xdr:to>
      <xdr:col>6</xdr:col>
      <xdr:colOff>346075</xdr:colOff>
      <xdr:row>477</xdr:row>
      <xdr:rowOff>293688</xdr:rowOff>
    </xdr:to>
    <xdr:pic>
      <xdr:nvPicPr>
        <xdr:cNvPr id="54890" name="Picture 54889">
          <a:extLst>
            <a:ext uri="{FF2B5EF4-FFF2-40B4-BE49-F238E27FC236}">
              <a16:creationId xmlns:a16="http://schemas.microsoft.com/office/drawing/2014/main" id="{E7604859-B6DE-41D6-D64A-82805B806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14598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478</xdr:row>
      <xdr:rowOff>39688</xdr:rowOff>
    </xdr:from>
    <xdr:to>
      <xdr:col>2</xdr:col>
      <xdr:colOff>312738</xdr:colOff>
      <xdr:row>478</xdr:row>
      <xdr:rowOff>293688</xdr:rowOff>
    </xdr:to>
    <xdr:pic>
      <xdr:nvPicPr>
        <xdr:cNvPr id="54893" name="Picture 54892">
          <a:extLst>
            <a:ext uri="{FF2B5EF4-FFF2-40B4-BE49-F238E27FC236}">
              <a16:creationId xmlns:a16="http://schemas.microsoft.com/office/drawing/2014/main" id="{15C32485-3DB8-5723-37C5-5537601C2D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17932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478</xdr:row>
      <xdr:rowOff>39688</xdr:rowOff>
    </xdr:from>
    <xdr:to>
      <xdr:col>6</xdr:col>
      <xdr:colOff>346075</xdr:colOff>
      <xdr:row>478</xdr:row>
      <xdr:rowOff>293688</xdr:rowOff>
    </xdr:to>
    <xdr:pic>
      <xdr:nvPicPr>
        <xdr:cNvPr id="54896" name="Picture 54895">
          <a:extLst>
            <a:ext uri="{FF2B5EF4-FFF2-40B4-BE49-F238E27FC236}">
              <a16:creationId xmlns:a16="http://schemas.microsoft.com/office/drawing/2014/main" id="{55EAD518-738A-A9F4-7F4F-9ED4715AE0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17932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482</xdr:row>
      <xdr:rowOff>39688</xdr:rowOff>
    </xdr:from>
    <xdr:to>
      <xdr:col>2</xdr:col>
      <xdr:colOff>312738</xdr:colOff>
      <xdr:row>482</xdr:row>
      <xdr:rowOff>293688</xdr:rowOff>
    </xdr:to>
    <xdr:pic>
      <xdr:nvPicPr>
        <xdr:cNvPr id="54899" name="Picture 54898">
          <a:extLst>
            <a:ext uri="{FF2B5EF4-FFF2-40B4-BE49-F238E27FC236}">
              <a16:creationId xmlns:a16="http://schemas.microsoft.com/office/drawing/2014/main" id="{518609FB-51B7-B6C4-35D7-64C36B2FC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31934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108832</xdr:colOff>
      <xdr:row>482</xdr:row>
      <xdr:rowOff>39688</xdr:rowOff>
    </xdr:from>
    <xdr:to>
      <xdr:col>6</xdr:col>
      <xdr:colOff>329318</xdr:colOff>
      <xdr:row>482</xdr:row>
      <xdr:rowOff>293688</xdr:rowOff>
    </xdr:to>
    <xdr:pic>
      <xdr:nvPicPr>
        <xdr:cNvPr id="54902" name="Picture 54901">
          <a:extLst>
            <a:ext uri="{FF2B5EF4-FFF2-40B4-BE49-F238E27FC236}">
              <a16:creationId xmlns:a16="http://schemas.microsoft.com/office/drawing/2014/main" id="{D56683EB-64BA-1FB3-5B88-F7970A57B4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6057" y="163193413"/>
          <a:ext cx="220486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483</xdr:row>
      <xdr:rowOff>39688</xdr:rowOff>
    </xdr:from>
    <xdr:to>
      <xdr:col>2</xdr:col>
      <xdr:colOff>312738</xdr:colOff>
      <xdr:row>483</xdr:row>
      <xdr:rowOff>293688</xdr:rowOff>
    </xdr:to>
    <xdr:pic>
      <xdr:nvPicPr>
        <xdr:cNvPr id="54905" name="Picture 54904">
          <a:extLst>
            <a:ext uri="{FF2B5EF4-FFF2-40B4-BE49-F238E27FC236}">
              <a16:creationId xmlns:a16="http://schemas.microsoft.com/office/drawing/2014/main" id="{87D283BA-8783-4137-17C3-5D5C185DEE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35267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149225</xdr:colOff>
      <xdr:row>483</xdr:row>
      <xdr:rowOff>39688</xdr:rowOff>
    </xdr:from>
    <xdr:to>
      <xdr:col>6</xdr:col>
      <xdr:colOff>288925</xdr:colOff>
      <xdr:row>483</xdr:row>
      <xdr:rowOff>293688</xdr:rowOff>
    </xdr:to>
    <xdr:pic>
      <xdr:nvPicPr>
        <xdr:cNvPr id="54908" name="Picture 54907">
          <a:extLst>
            <a:ext uri="{FF2B5EF4-FFF2-40B4-BE49-F238E27FC236}">
              <a16:creationId xmlns:a16="http://schemas.microsoft.com/office/drawing/2014/main" id="{C7823213-7598-952A-B92E-4A4289EB21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6450" y="163526788"/>
          <a:ext cx="1397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484</xdr:row>
      <xdr:rowOff>39688</xdr:rowOff>
    </xdr:from>
    <xdr:to>
      <xdr:col>2</xdr:col>
      <xdr:colOff>312738</xdr:colOff>
      <xdr:row>484</xdr:row>
      <xdr:rowOff>293688</xdr:rowOff>
    </xdr:to>
    <xdr:pic>
      <xdr:nvPicPr>
        <xdr:cNvPr id="54911" name="Picture 54910">
          <a:extLst>
            <a:ext uri="{FF2B5EF4-FFF2-40B4-BE49-F238E27FC236}">
              <a16:creationId xmlns:a16="http://schemas.microsoft.com/office/drawing/2014/main" id="{00945748-C83E-8A6A-A01E-5B4413DB9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38601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484</xdr:row>
      <xdr:rowOff>39688</xdr:rowOff>
    </xdr:from>
    <xdr:to>
      <xdr:col>6</xdr:col>
      <xdr:colOff>346075</xdr:colOff>
      <xdr:row>484</xdr:row>
      <xdr:rowOff>293688</xdr:rowOff>
    </xdr:to>
    <xdr:pic>
      <xdr:nvPicPr>
        <xdr:cNvPr id="54914" name="Picture 54913">
          <a:extLst>
            <a:ext uri="{FF2B5EF4-FFF2-40B4-BE49-F238E27FC236}">
              <a16:creationId xmlns:a16="http://schemas.microsoft.com/office/drawing/2014/main" id="{40F6C376-267D-1573-AB25-612AED8A6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38601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485</xdr:row>
      <xdr:rowOff>39688</xdr:rowOff>
    </xdr:from>
    <xdr:to>
      <xdr:col>2</xdr:col>
      <xdr:colOff>312738</xdr:colOff>
      <xdr:row>485</xdr:row>
      <xdr:rowOff>293688</xdr:rowOff>
    </xdr:to>
    <xdr:pic>
      <xdr:nvPicPr>
        <xdr:cNvPr id="54917" name="Picture 54916">
          <a:extLst>
            <a:ext uri="{FF2B5EF4-FFF2-40B4-BE49-F238E27FC236}">
              <a16:creationId xmlns:a16="http://schemas.microsoft.com/office/drawing/2014/main" id="{7CF1CA9E-B9F6-9DDD-9976-999CC91B3A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41935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485</xdr:row>
      <xdr:rowOff>39688</xdr:rowOff>
    </xdr:from>
    <xdr:to>
      <xdr:col>6</xdr:col>
      <xdr:colOff>346075</xdr:colOff>
      <xdr:row>485</xdr:row>
      <xdr:rowOff>293688</xdr:rowOff>
    </xdr:to>
    <xdr:pic>
      <xdr:nvPicPr>
        <xdr:cNvPr id="54920" name="Picture 54919">
          <a:extLst>
            <a:ext uri="{FF2B5EF4-FFF2-40B4-BE49-F238E27FC236}">
              <a16:creationId xmlns:a16="http://schemas.microsoft.com/office/drawing/2014/main" id="{BBEDC1C0-25B7-DED5-35CF-1AB9F04E9F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41935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486</xdr:row>
      <xdr:rowOff>39688</xdr:rowOff>
    </xdr:from>
    <xdr:to>
      <xdr:col>2</xdr:col>
      <xdr:colOff>312738</xdr:colOff>
      <xdr:row>486</xdr:row>
      <xdr:rowOff>293688</xdr:rowOff>
    </xdr:to>
    <xdr:pic>
      <xdr:nvPicPr>
        <xdr:cNvPr id="54923" name="Picture 54922">
          <a:extLst>
            <a:ext uri="{FF2B5EF4-FFF2-40B4-BE49-F238E27FC236}">
              <a16:creationId xmlns:a16="http://schemas.microsoft.com/office/drawing/2014/main" id="{4F008167-4A91-B426-E109-584B27982A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45269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486</xdr:row>
      <xdr:rowOff>39688</xdr:rowOff>
    </xdr:from>
    <xdr:to>
      <xdr:col>6</xdr:col>
      <xdr:colOff>346075</xdr:colOff>
      <xdr:row>486</xdr:row>
      <xdr:rowOff>293688</xdr:rowOff>
    </xdr:to>
    <xdr:pic>
      <xdr:nvPicPr>
        <xdr:cNvPr id="54926" name="Picture 54925">
          <a:extLst>
            <a:ext uri="{FF2B5EF4-FFF2-40B4-BE49-F238E27FC236}">
              <a16:creationId xmlns:a16="http://schemas.microsoft.com/office/drawing/2014/main" id="{0A93DC85-4F69-519B-DAB0-3DBB3B7D77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45269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487</xdr:row>
      <xdr:rowOff>39688</xdr:rowOff>
    </xdr:from>
    <xdr:to>
      <xdr:col>2</xdr:col>
      <xdr:colOff>312738</xdr:colOff>
      <xdr:row>487</xdr:row>
      <xdr:rowOff>293688</xdr:rowOff>
    </xdr:to>
    <xdr:pic>
      <xdr:nvPicPr>
        <xdr:cNvPr id="54929" name="Picture 54928">
          <a:extLst>
            <a:ext uri="{FF2B5EF4-FFF2-40B4-BE49-F238E27FC236}">
              <a16:creationId xmlns:a16="http://schemas.microsoft.com/office/drawing/2014/main" id="{ADB0176C-73B1-566A-9274-56D8CAF583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48602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66909</xdr:colOff>
      <xdr:row>487</xdr:row>
      <xdr:rowOff>39688</xdr:rowOff>
    </xdr:from>
    <xdr:to>
      <xdr:col>6</xdr:col>
      <xdr:colOff>371241</xdr:colOff>
      <xdr:row>487</xdr:row>
      <xdr:rowOff>293688</xdr:rowOff>
    </xdr:to>
    <xdr:pic>
      <xdr:nvPicPr>
        <xdr:cNvPr id="54932" name="Picture 54931">
          <a:extLst>
            <a:ext uri="{FF2B5EF4-FFF2-40B4-BE49-F238E27FC236}">
              <a16:creationId xmlns:a16="http://schemas.microsoft.com/office/drawing/2014/main" id="{1C4B025B-AD01-C671-AAEA-217843EC99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4134" y="164860288"/>
          <a:ext cx="304332" cy="254000"/>
        </a:xfrm>
        <a:prstGeom prst="rect">
          <a:avLst/>
        </a:prstGeom>
      </xdr:spPr>
    </xdr:pic>
    <xdr:clientData/>
  </xdr:twoCellAnchor>
  <xdr:twoCellAnchor>
    <xdr:from>
      <xdr:col>2</xdr:col>
      <xdr:colOff>82366</xdr:colOff>
      <xdr:row>488</xdr:row>
      <xdr:rowOff>39688</xdr:rowOff>
    </xdr:from>
    <xdr:to>
      <xdr:col>2</xdr:col>
      <xdr:colOff>289110</xdr:colOff>
      <xdr:row>488</xdr:row>
      <xdr:rowOff>293688</xdr:rowOff>
    </xdr:to>
    <xdr:pic>
      <xdr:nvPicPr>
        <xdr:cNvPr id="54935" name="Picture 54934">
          <a:extLst>
            <a:ext uri="{FF2B5EF4-FFF2-40B4-BE49-F238E27FC236}">
              <a16:creationId xmlns:a16="http://schemas.microsoft.com/office/drawing/2014/main" id="{B7E39C43-E09B-4AB6-FC96-8C862EBBB1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0391" y="165193663"/>
          <a:ext cx="206744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488</xdr:row>
      <xdr:rowOff>39688</xdr:rowOff>
    </xdr:from>
    <xdr:to>
      <xdr:col>6</xdr:col>
      <xdr:colOff>346075</xdr:colOff>
      <xdr:row>488</xdr:row>
      <xdr:rowOff>293688</xdr:rowOff>
    </xdr:to>
    <xdr:pic>
      <xdr:nvPicPr>
        <xdr:cNvPr id="54938" name="Picture 54937">
          <a:extLst>
            <a:ext uri="{FF2B5EF4-FFF2-40B4-BE49-F238E27FC236}">
              <a16:creationId xmlns:a16="http://schemas.microsoft.com/office/drawing/2014/main" id="{A1F31339-3B99-085B-F9AD-C7F911C75C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51936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489</xdr:row>
      <xdr:rowOff>39688</xdr:rowOff>
    </xdr:from>
    <xdr:to>
      <xdr:col>2</xdr:col>
      <xdr:colOff>312738</xdr:colOff>
      <xdr:row>489</xdr:row>
      <xdr:rowOff>293688</xdr:rowOff>
    </xdr:to>
    <xdr:pic>
      <xdr:nvPicPr>
        <xdr:cNvPr id="54941" name="Picture 54940">
          <a:extLst>
            <a:ext uri="{FF2B5EF4-FFF2-40B4-BE49-F238E27FC236}">
              <a16:creationId xmlns:a16="http://schemas.microsoft.com/office/drawing/2014/main" id="{D01E8B83-82BA-5F33-98DA-9760801562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55270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489</xdr:row>
      <xdr:rowOff>39688</xdr:rowOff>
    </xdr:from>
    <xdr:to>
      <xdr:col>6</xdr:col>
      <xdr:colOff>346075</xdr:colOff>
      <xdr:row>489</xdr:row>
      <xdr:rowOff>293688</xdr:rowOff>
    </xdr:to>
    <xdr:pic>
      <xdr:nvPicPr>
        <xdr:cNvPr id="54944" name="Picture 54943">
          <a:extLst>
            <a:ext uri="{FF2B5EF4-FFF2-40B4-BE49-F238E27FC236}">
              <a16:creationId xmlns:a16="http://schemas.microsoft.com/office/drawing/2014/main" id="{3D9BD830-8F90-8383-7A60-B97E01845D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55270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490</xdr:row>
      <xdr:rowOff>39688</xdr:rowOff>
    </xdr:from>
    <xdr:to>
      <xdr:col>2</xdr:col>
      <xdr:colOff>312738</xdr:colOff>
      <xdr:row>490</xdr:row>
      <xdr:rowOff>293688</xdr:rowOff>
    </xdr:to>
    <xdr:pic>
      <xdr:nvPicPr>
        <xdr:cNvPr id="54947" name="Picture 54946">
          <a:extLst>
            <a:ext uri="{FF2B5EF4-FFF2-40B4-BE49-F238E27FC236}">
              <a16:creationId xmlns:a16="http://schemas.microsoft.com/office/drawing/2014/main" id="{F296C576-5AEF-BD49-C3B4-9ACB2CCACA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58604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490</xdr:row>
      <xdr:rowOff>39688</xdr:rowOff>
    </xdr:from>
    <xdr:to>
      <xdr:col>6</xdr:col>
      <xdr:colOff>346075</xdr:colOff>
      <xdr:row>490</xdr:row>
      <xdr:rowOff>293688</xdr:rowOff>
    </xdr:to>
    <xdr:pic>
      <xdr:nvPicPr>
        <xdr:cNvPr id="54950" name="Picture 54949">
          <a:extLst>
            <a:ext uri="{FF2B5EF4-FFF2-40B4-BE49-F238E27FC236}">
              <a16:creationId xmlns:a16="http://schemas.microsoft.com/office/drawing/2014/main" id="{BC82F2CD-69FF-D3C2-68FF-844E3D5EAC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58604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491</xdr:row>
      <xdr:rowOff>39688</xdr:rowOff>
    </xdr:from>
    <xdr:to>
      <xdr:col>2</xdr:col>
      <xdr:colOff>312738</xdr:colOff>
      <xdr:row>491</xdr:row>
      <xdr:rowOff>293688</xdr:rowOff>
    </xdr:to>
    <xdr:pic>
      <xdr:nvPicPr>
        <xdr:cNvPr id="54954" name="Picture 54953">
          <a:extLst>
            <a:ext uri="{FF2B5EF4-FFF2-40B4-BE49-F238E27FC236}">
              <a16:creationId xmlns:a16="http://schemas.microsoft.com/office/drawing/2014/main" id="{91A6CE16-9E87-3840-EF2B-298E35662B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61937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491</xdr:row>
      <xdr:rowOff>39688</xdr:rowOff>
    </xdr:from>
    <xdr:to>
      <xdr:col>6</xdr:col>
      <xdr:colOff>346075</xdr:colOff>
      <xdr:row>491</xdr:row>
      <xdr:rowOff>293688</xdr:rowOff>
    </xdr:to>
    <xdr:pic>
      <xdr:nvPicPr>
        <xdr:cNvPr id="54957" name="Picture 54956">
          <a:extLst>
            <a:ext uri="{FF2B5EF4-FFF2-40B4-BE49-F238E27FC236}">
              <a16:creationId xmlns:a16="http://schemas.microsoft.com/office/drawing/2014/main" id="{A0BCE772-4B5D-4758-BA47-7B5F65D29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61937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495</xdr:row>
      <xdr:rowOff>39688</xdr:rowOff>
    </xdr:from>
    <xdr:to>
      <xdr:col>2</xdr:col>
      <xdr:colOff>312738</xdr:colOff>
      <xdr:row>495</xdr:row>
      <xdr:rowOff>293688</xdr:rowOff>
    </xdr:to>
    <xdr:pic>
      <xdr:nvPicPr>
        <xdr:cNvPr id="54960" name="Picture 54959">
          <a:extLst>
            <a:ext uri="{FF2B5EF4-FFF2-40B4-BE49-F238E27FC236}">
              <a16:creationId xmlns:a16="http://schemas.microsoft.com/office/drawing/2014/main" id="{6636DFBA-C79B-B26A-F129-9C482F0B79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759396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495</xdr:row>
      <xdr:rowOff>39688</xdr:rowOff>
    </xdr:from>
    <xdr:to>
      <xdr:col>6</xdr:col>
      <xdr:colOff>346075</xdr:colOff>
      <xdr:row>495</xdr:row>
      <xdr:rowOff>293688</xdr:rowOff>
    </xdr:to>
    <xdr:pic>
      <xdr:nvPicPr>
        <xdr:cNvPr id="54963" name="Picture 54962">
          <a:extLst>
            <a:ext uri="{FF2B5EF4-FFF2-40B4-BE49-F238E27FC236}">
              <a16:creationId xmlns:a16="http://schemas.microsoft.com/office/drawing/2014/main" id="{95925359-7F15-FF3A-7F88-4864F2C6A2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75939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75495</xdr:colOff>
      <xdr:row>496</xdr:row>
      <xdr:rowOff>39688</xdr:rowOff>
    </xdr:from>
    <xdr:to>
      <xdr:col>2</xdr:col>
      <xdr:colOff>295981</xdr:colOff>
      <xdr:row>496</xdr:row>
      <xdr:rowOff>293688</xdr:rowOff>
    </xdr:to>
    <xdr:pic>
      <xdr:nvPicPr>
        <xdr:cNvPr id="54966" name="Picture 54965">
          <a:extLst>
            <a:ext uri="{FF2B5EF4-FFF2-40B4-BE49-F238E27FC236}">
              <a16:creationId xmlns:a16="http://schemas.microsoft.com/office/drawing/2014/main" id="{4A2094E7-9A10-8D6D-C817-BCA376D657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520" y="167927338"/>
          <a:ext cx="220486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496</xdr:row>
      <xdr:rowOff>39688</xdr:rowOff>
    </xdr:from>
    <xdr:to>
      <xdr:col>6</xdr:col>
      <xdr:colOff>346075</xdr:colOff>
      <xdr:row>496</xdr:row>
      <xdr:rowOff>293688</xdr:rowOff>
    </xdr:to>
    <xdr:pic>
      <xdr:nvPicPr>
        <xdr:cNvPr id="54969" name="Picture 54968">
          <a:extLst>
            <a:ext uri="{FF2B5EF4-FFF2-40B4-BE49-F238E27FC236}">
              <a16:creationId xmlns:a16="http://schemas.microsoft.com/office/drawing/2014/main" id="{719657AF-703E-63A4-F07C-E80C49934C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79273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497</xdr:row>
      <xdr:rowOff>39688</xdr:rowOff>
    </xdr:from>
    <xdr:to>
      <xdr:col>2</xdr:col>
      <xdr:colOff>312738</xdr:colOff>
      <xdr:row>497</xdr:row>
      <xdr:rowOff>293688</xdr:rowOff>
    </xdr:to>
    <xdr:pic>
      <xdr:nvPicPr>
        <xdr:cNvPr id="54972" name="Picture 54971">
          <a:extLst>
            <a:ext uri="{FF2B5EF4-FFF2-40B4-BE49-F238E27FC236}">
              <a16:creationId xmlns:a16="http://schemas.microsoft.com/office/drawing/2014/main" id="{31F90872-5ACF-3C32-8419-902EA5FB7B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82607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497</xdr:row>
      <xdr:rowOff>39688</xdr:rowOff>
    </xdr:from>
    <xdr:to>
      <xdr:col>6</xdr:col>
      <xdr:colOff>346075</xdr:colOff>
      <xdr:row>497</xdr:row>
      <xdr:rowOff>293688</xdr:rowOff>
    </xdr:to>
    <xdr:pic>
      <xdr:nvPicPr>
        <xdr:cNvPr id="54975" name="Picture 54974">
          <a:extLst>
            <a:ext uri="{FF2B5EF4-FFF2-40B4-BE49-F238E27FC236}">
              <a16:creationId xmlns:a16="http://schemas.microsoft.com/office/drawing/2014/main" id="{AEE49208-177A-A83E-1D5C-F5EB5A51F9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82607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498</xdr:row>
      <xdr:rowOff>39688</xdr:rowOff>
    </xdr:from>
    <xdr:to>
      <xdr:col>2</xdr:col>
      <xdr:colOff>312738</xdr:colOff>
      <xdr:row>498</xdr:row>
      <xdr:rowOff>293688</xdr:rowOff>
    </xdr:to>
    <xdr:pic>
      <xdr:nvPicPr>
        <xdr:cNvPr id="54978" name="Picture 54977">
          <a:extLst>
            <a:ext uri="{FF2B5EF4-FFF2-40B4-BE49-F238E27FC236}">
              <a16:creationId xmlns:a16="http://schemas.microsoft.com/office/drawing/2014/main" id="{93BBC8C2-07EC-E91A-0D72-6829B8FE1A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85940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498</xdr:row>
      <xdr:rowOff>39688</xdr:rowOff>
    </xdr:from>
    <xdr:to>
      <xdr:col>6</xdr:col>
      <xdr:colOff>346075</xdr:colOff>
      <xdr:row>498</xdr:row>
      <xdr:rowOff>293688</xdr:rowOff>
    </xdr:to>
    <xdr:pic>
      <xdr:nvPicPr>
        <xdr:cNvPr id="54981" name="Picture 54980">
          <a:extLst>
            <a:ext uri="{FF2B5EF4-FFF2-40B4-BE49-F238E27FC236}">
              <a16:creationId xmlns:a16="http://schemas.microsoft.com/office/drawing/2014/main" id="{52A50B42-492C-C083-65D3-4C301C4ED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85940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115888</xdr:colOff>
      <xdr:row>499</xdr:row>
      <xdr:rowOff>39688</xdr:rowOff>
    </xdr:from>
    <xdr:to>
      <xdr:col>2</xdr:col>
      <xdr:colOff>255588</xdr:colOff>
      <xdr:row>499</xdr:row>
      <xdr:rowOff>293688</xdr:rowOff>
    </xdr:to>
    <xdr:pic>
      <xdr:nvPicPr>
        <xdr:cNvPr id="54984" name="Picture 54983">
          <a:extLst>
            <a:ext uri="{FF2B5EF4-FFF2-40B4-BE49-F238E27FC236}">
              <a16:creationId xmlns:a16="http://schemas.microsoft.com/office/drawing/2014/main" id="{F595ECBC-7751-9E31-6841-4F6C2D923F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3913" y="168927463"/>
          <a:ext cx="1397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499</xdr:row>
      <xdr:rowOff>39688</xdr:rowOff>
    </xdr:from>
    <xdr:to>
      <xdr:col>6</xdr:col>
      <xdr:colOff>346075</xdr:colOff>
      <xdr:row>499</xdr:row>
      <xdr:rowOff>293688</xdr:rowOff>
    </xdr:to>
    <xdr:pic>
      <xdr:nvPicPr>
        <xdr:cNvPr id="54987" name="Picture 54986">
          <a:extLst>
            <a:ext uri="{FF2B5EF4-FFF2-40B4-BE49-F238E27FC236}">
              <a16:creationId xmlns:a16="http://schemas.microsoft.com/office/drawing/2014/main" id="{25F92AC8-FC46-5C7A-1CB1-FB48CD2BFC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89274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500</xdr:row>
      <xdr:rowOff>39688</xdr:rowOff>
    </xdr:from>
    <xdr:to>
      <xdr:col>2</xdr:col>
      <xdr:colOff>312738</xdr:colOff>
      <xdr:row>500</xdr:row>
      <xdr:rowOff>293688</xdr:rowOff>
    </xdr:to>
    <xdr:pic>
      <xdr:nvPicPr>
        <xdr:cNvPr id="54990" name="Picture 54989">
          <a:extLst>
            <a:ext uri="{FF2B5EF4-FFF2-40B4-BE49-F238E27FC236}">
              <a16:creationId xmlns:a16="http://schemas.microsoft.com/office/drawing/2014/main" id="{438B537C-6C7A-C635-6426-9295278F09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92608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500</xdr:row>
      <xdr:rowOff>39688</xdr:rowOff>
    </xdr:from>
    <xdr:to>
      <xdr:col>6</xdr:col>
      <xdr:colOff>346075</xdr:colOff>
      <xdr:row>500</xdr:row>
      <xdr:rowOff>293688</xdr:rowOff>
    </xdr:to>
    <xdr:pic>
      <xdr:nvPicPr>
        <xdr:cNvPr id="54993" name="Picture 54992">
          <a:extLst>
            <a:ext uri="{FF2B5EF4-FFF2-40B4-BE49-F238E27FC236}">
              <a16:creationId xmlns:a16="http://schemas.microsoft.com/office/drawing/2014/main" id="{09717530-C798-005E-CF5E-7330AE750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926083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501</xdr:row>
      <xdr:rowOff>39688</xdr:rowOff>
    </xdr:from>
    <xdr:to>
      <xdr:col>2</xdr:col>
      <xdr:colOff>312738</xdr:colOff>
      <xdr:row>501</xdr:row>
      <xdr:rowOff>293688</xdr:rowOff>
    </xdr:to>
    <xdr:pic>
      <xdr:nvPicPr>
        <xdr:cNvPr id="54996" name="Picture 54995">
          <a:extLst>
            <a:ext uri="{FF2B5EF4-FFF2-40B4-BE49-F238E27FC236}">
              <a16:creationId xmlns:a16="http://schemas.microsoft.com/office/drawing/2014/main" id="{4C1DDF0E-B707-6A31-C536-251120B335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9594213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501</xdr:row>
      <xdr:rowOff>39688</xdr:rowOff>
    </xdr:from>
    <xdr:to>
      <xdr:col>6</xdr:col>
      <xdr:colOff>346075</xdr:colOff>
      <xdr:row>501</xdr:row>
      <xdr:rowOff>293688</xdr:rowOff>
    </xdr:to>
    <xdr:pic>
      <xdr:nvPicPr>
        <xdr:cNvPr id="54999" name="Picture 54998">
          <a:extLst>
            <a:ext uri="{FF2B5EF4-FFF2-40B4-BE49-F238E27FC236}">
              <a16:creationId xmlns:a16="http://schemas.microsoft.com/office/drawing/2014/main" id="{93B0A44E-A20B-39DC-4DC4-CF37F58E55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959421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502</xdr:row>
      <xdr:rowOff>39688</xdr:rowOff>
    </xdr:from>
    <xdr:to>
      <xdr:col>2</xdr:col>
      <xdr:colOff>312738</xdr:colOff>
      <xdr:row>502</xdr:row>
      <xdr:rowOff>293688</xdr:rowOff>
    </xdr:to>
    <xdr:pic>
      <xdr:nvPicPr>
        <xdr:cNvPr id="55002" name="Picture 55001">
          <a:extLst>
            <a:ext uri="{FF2B5EF4-FFF2-40B4-BE49-F238E27FC236}">
              <a16:creationId xmlns:a16="http://schemas.microsoft.com/office/drawing/2014/main" id="{460117DB-2C8F-3C42-20B0-23E9C2E396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6992758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502</xdr:row>
      <xdr:rowOff>39688</xdr:rowOff>
    </xdr:from>
    <xdr:to>
      <xdr:col>6</xdr:col>
      <xdr:colOff>346075</xdr:colOff>
      <xdr:row>502</xdr:row>
      <xdr:rowOff>293688</xdr:rowOff>
    </xdr:to>
    <xdr:pic>
      <xdr:nvPicPr>
        <xdr:cNvPr id="55005" name="Picture 55004">
          <a:extLst>
            <a:ext uri="{FF2B5EF4-FFF2-40B4-BE49-F238E27FC236}">
              <a16:creationId xmlns:a16="http://schemas.microsoft.com/office/drawing/2014/main" id="{B51DE520-FCE6-82BC-8AAB-587ECAE63F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69927588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33572</xdr:colOff>
      <xdr:row>503</xdr:row>
      <xdr:rowOff>39688</xdr:rowOff>
    </xdr:from>
    <xdr:to>
      <xdr:col>2</xdr:col>
      <xdr:colOff>337904</xdr:colOff>
      <xdr:row>503</xdr:row>
      <xdr:rowOff>293688</xdr:rowOff>
    </xdr:to>
    <xdr:pic>
      <xdr:nvPicPr>
        <xdr:cNvPr id="55008" name="Picture 55007">
          <a:extLst>
            <a:ext uri="{FF2B5EF4-FFF2-40B4-BE49-F238E27FC236}">
              <a16:creationId xmlns:a16="http://schemas.microsoft.com/office/drawing/2014/main" id="{BAAB80D0-CFC3-9355-996A-AE117362F1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1597" y="170260963"/>
          <a:ext cx="304332" cy="254000"/>
        </a:xfrm>
        <a:prstGeom prst="rect">
          <a:avLst/>
        </a:prstGeom>
      </xdr:spPr>
    </xdr:pic>
    <xdr:clientData/>
  </xdr:twoCellAnchor>
  <xdr:twoCellAnchor>
    <xdr:from>
      <xdr:col>6</xdr:col>
      <xdr:colOff>92075</xdr:colOff>
      <xdr:row>503</xdr:row>
      <xdr:rowOff>39688</xdr:rowOff>
    </xdr:from>
    <xdr:to>
      <xdr:col>6</xdr:col>
      <xdr:colOff>346075</xdr:colOff>
      <xdr:row>503</xdr:row>
      <xdr:rowOff>293688</xdr:rowOff>
    </xdr:to>
    <xdr:pic>
      <xdr:nvPicPr>
        <xdr:cNvPr id="55011" name="Picture 55010">
          <a:extLst>
            <a:ext uri="{FF2B5EF4-FFF2-40B4-BE49-F238E27FC236}">
              <a16:creationId xmlns:a16="http://schemas.microsoft.com/office/drawing/2014/main" id="{E0DEC200-7137-F4ED-9022-2E0F118BC7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59300" y="170260963"/>
          <a:ext cx="254000" cy="254000"/>
        </a:xfrm>
        <a:prstGeom prst="rect">
          <a:avLst/>
        </a:prstGeom>
      </xdr:spPr>
    </xdr:pic>
    <xdr:clientData/>
  </xdr:twoCellAnchor>
  <xdr:twoCellAnchor>
    <xdr:from>
      <xdr:col>2</xdr:col>
      <xdr:colOff>58738</xdr:colOff>
      <xdr:row>504</xdr:row>
      <xdr:rowOff>39688</xdr:rowOff>
    </xdr:from>
    <xdr:to>
      <xdr:col>2</xdr:col>
      <xdr:colOff>312738</xdr:colOff>
      <xdr:row>504</xdr:row>
      <xdr:rowOff>293688</xdr:rowOff>
    </xdr:to>
    <xdr:pic>
      <xdr:nvPicPr>
        <xdr:cNvPr id="55014" name="Picture 55013">
          <a:extLst>
            <a:ext uri="{FF2B5EF4-FFF2-40B4-BE49-F238E27FC236}">
              <a16:creationId xmlns:a16="http://schemas.microsoft.com/office/drawing/2014/main" id="{985067CA-5443-5C24-698B-ACE2FBA0B5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6763" y="170594338"/>
          <a:ext cx="254000" cy="254000"/>
        </a:xfrm>
        <a:prstGeom prst="rect">
          <a:avLst/>
        </a:prstGeom>
      </xdr:spPr>
    </xdr:pic>
    <xdr:clientData/>
  </xdr:twoCellAnchor>
  <xdr:twoCellAnchor>
    <xdr:from>
      <xdr:col>6</xdr:col>
      <xdr:colOff>115703</xdr:colOff>
      <xdr:row>504</xdr:row>
      <xdr:rowOff>39688</xdr:rowOff>
    </xdr:from>
    <xdr:to>
      <xdr:col>6</xdr:col>
      <xdr:colOff>322447</xdr:colOff>
      <xdr:row>504</xdr:row>
      <xdr:rowOff>293688</xdr:rowOff>
    </xdr:to>
    <xdr:pic>
      <xdr:nvPicPr>
        <xdr:cNvPr id="55017" name="Picture 55016">
          <a:extLst>
            <a:ext uri="{FF2B5EF4-FFF2-40B4-BE49-F238E27FC236}">
              <a16:creationId xmlns:a16="http://schemas.microsoft.com/office/drawing/2014/main" id="{B59A94AC-9A9E-6726-07EA-8F1C0CF668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2928" y="170594338"/>
          <a:ext cx="206744" cy="254000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Query - fixtures" backgroundRefresh="0" connectionId="1" xr16:uid="{3A95EA3F-532F-45E3-BC75-B8AC43E608F4}" autoFormatId="16" applyNumberFormats="0" applyBorderFormats="0" applyFontFormats="0" applyPatternFormats="0" applyAlignmentFormats="0" applyWidthHeightFormats="0">
  <queryTableRefresh nextId="23">
    <queryTableFields count="22">
      <queryTableField id="1" name="Match Day" tableColumnId="1"/>
      <queryTableField id="2" name="MatchDate" tableColumnId="2"/>
      <queryTableField id="3" name="Match Time(New York)" tableColumnId="3"/>
      <queryTableField id="4" name="Match Time(London)" tableColumnId="4"/>
      <queryTableField id="5" name="Match Time(Moscow)" tableColumnId="5"/>
      <queryTableField id="6" name="Match Time(Dubai)" tableColumnId="6"/>
      <queryTableField id="7" name="Match Time(Shanghai)" tableColumnId="7"/>
      <queryTableField id="8" name="Fixture" tableColumnId="8"/>
      <queryTableField id="9" name="Stadium" tableColumnId="9"/>
      <queryTableField id="10" name="Home Team" tableColumnId="10"/>
      <queryTableField id="11" name="Home Goal" tableColumnId="11"/>
      <queryTableField id="12" name="Away Goal" tableColumnId="12"/>
      <queryTableField id="13" name="Away Team" tableColumnId="13"/>
      <queryTableField id="14" name="Win Probability" tableColumnId="14"/>
      <queryTableField id="15" name="Draw Probability" tableColumnId="15"/>
      <queryTableField id="16" name="Loss Probability" tableColumnId="16"/>
      <queryTableField id="17" name="Expected Home Goal" tableColumnId="17"/>
      <queryTableField id="18" name="Expected Away Goal" tableColumnId="18"/>
      <queryTableField id="19" name="Last Update Time" tableColumnId="19"/>
      <queryTableField id="20" name="Stage" tableColumnId="20"/>
      <queryTableField id="21" name="Status" tableColumnId="21"/>
      <queryTableField id="22" name="State" tableColumnId="22"/>
    </queryTableFields>
  </queryTableRefresh>
</queryTable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40">
  <rv s="0">
    <v>0</v>
    <v>4</v>
    <v>Arsenal</v>
  </rv>
  <rv s="0">
    <v>1</v>
    <v>4</v>
    <v>Man Utd</v>
  </rv>
  <rv s="0">
    <v>2</v>
    <v>4</v>
    <v>Aston Villa</v>
  </rv>
  <rv s="0">
    <v>3</v>
    <v>4</v>
    <v>Newcastle</v>
  </rv>
  <rv s="0">
    <v>4</v>
    <v>4</v>
    <v>Bournemouth</v>
  </rv>
  <rv s="0">
    <v>5</v>
    <v>4</v>
    <v>Liverpool</v>
  </rv>
  <rv s="0">
    <v>6</v>
    <v>4</v>
    <v>Brentford</v>
  </rv>
  <rv s="0">
    <v>7</v>
    <v>4</v>
    <v>Nott'm Forest</v>
  </rv>
  <rv s="0">
    <v>8</v>
    <v>4</v>
    <v>Brighton</v>
  </rv>
  <rv s="0">
    <v>9</v>
    <v>4</v>
    <v>Fulham</v>
  </rv>
  <rv s="0">
    <v>10</v>
    <v>4</v>
    <v>Burnley</v>
  </rv>
  <rv s="0">
    <v>11</v>
    <v>4</v>
    <v>Spurs</v>
  </rv>
  <rv s="0">
    <v>12</v>
    <v>4</v>
    <v>Chelsea</v>
  </rv>
  <rv s="0">
    <v>13</v>
    <v>4</v>
    <v>Crystal Palace</v>
  </rv>
  <rv s="0">
    <v>14</v>
    <v>4</v>
    <v>Everton</v>
  </rv>
  <rv s="0">
    <v>15</v>
    <v>4</v>
    <v>Leeds Utd</v>
  </rv>
  <rv s="0">
    <v>16</v>
    <v>4</v>
    <v>Man City</v>
  </rv>
  <rv s="0">
    <v>17</v>
    <v>4</v>
    <v>Wolves</v>
  </rv>
  <rv s="0">
    <v>18</v>
    <v>4</v>
    <v>Sunderland</v>
  </rv>
  <rv s="0">
    <v>19</v>
    <v>4</v>
    <v>West Ham</v>
  </rv>
  <rv s="0">
    <v>0</v>
    <v>5</v>
    <v>Arsenal</v>
  </rv>
  <rv s="0">
    <v>2</v>
    <v>5</v>
    <v>Aston Villa</v>
  </rv>
  <rv s="0">
    <v>4</v>
    <v>5</v>
    <v>Bournemouth</v>
  </rv>
  <rv s="0">
    <v>6</v>
    <v>5</v>
    <v>Brentford</v>
  </rv>
  <rv s="0">
    <v>8</v>
    <v>5</v>
    <v>Brighton</v>
  </rv>
  <rv s="0">
    <v>10</v>
    <v>5</v>
    <v>Burnley</v>
  </rv>
  <rv s="0">
    <v>12</v>
    <v>5</v>
    <v>Chelsea</v>
  </rv>
  <rv s="0">
    <v>13</v>
    <v>5</v>
    <v>Crystal Palace</v>
  </rv>
  <rv s="0">
    <v>14</v>
    <v>5</v>
    <v>Everton</v>
  </rv>
  <rv s="0">
    <v>9</v>
    <v>5</v>
    <v>Fulham</v>
  </rv>
  <rv s="0">
    <v>15</v>
    <v>5</v>
    <v>Leeds Utd</v>
  </rv>
  <rv s="0">
    <v>5</v>
    <v>5</v>
    <v>Liverpool</v>
  </rv>
  <rv s="0">
    <v>16</v>
    <v>5</v>
    <v>Man City</v>
  </rv>
  <rv s="0">
    <v>1</v>
    <v>5</v>
    <v>Man Utd</v>
  </rv>
  <rv s="0">
    <v>3</v>
    <v>5</v>
    <v>Newcastle</v>
  </rv>
  <rv s="0">
    <v>7</v>
    <v>5</v>
    <v>Nott'm Forest</v>
  </rv>
  <rv s="0">
    <v>11</v>
    <v>5</v>
    <v>Spurs</v>
  </rv>
  <rv s="0">
    <v>18</v>
    <v>5</v>
    <v>Sunderland</v>
  </rv>
  <rv s="0">
    <v>19</v>
    <v>5</v>
    <v>West Ham</v>
  </rv>
  <rv s="0">
    <v>17</v>
    <v>5</v>
    <v>Wolves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  <k n="Text" t="s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  <rel r:id="rId20"/>
</richValueRel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3" displayName="Table3" ref="A1:U381" totalsRowShown="0" tableBorderDxfId="41">
  <tableColumns count="21">
    <tableColumn id="1" xr3:uid="{00000000-0010-0000-0000-000001000000}" name="Match Day" dataDxfId="20"/>
    <tableColumn id="2" xr3:uid="{00000000-0010-0000-0000-000002000000}" name="Match Date (UTC)" dataDxfId="19"/>
    <tableColumn id="3" xr3:uid="{00000000-0010-0000-0000-000003000000}" name="Match Time(New York)" dataDxfId="18"/>
    <tableColumn id="4" xr3:uid="{00000000-0010-0000-0000-000004000000}" name="Match Time(London)" dataDxfId="17"/>
    <tableColumn id="5" xr3:uid="{00000000-0010-0000-0000-000005000000}" name="Match Time(Moscow)" dataDxfId="16"/>
    <tableColumn id="6" xr3:uid="{00000000-0010-0000-0000-000006000000}" name="Match Time(Dubai)" dataDxfId="15"/>
    <tableColumn id="7" xr3:uid="{00000000-0010-0000-0000-000007000000}" name="Match Time(Shanghai)" dataDxfId="14"/>
    <tableColumn id="8" xr3:uid="{00000000-0010-0000-0000-000008000000}" name="Fixture" dataDxfId="13"/>
    <tableColumn id="9" xr3:uid="{00000000-0010-0000-0000-000009000000}" name="Stadium" dataDxfId="12"/>
    <tableColumn id="10" xr3:uid="{00000000-0010-0000-0000-00000A000000}" name="Home Team" dataDxfId="11"/>
    <tableColumn id="11" xr3:uid="{00000000-0010-0000-0000-00000B000000}" name="Home Goal" dataDxfId="1"/>
    <tableColumn id="12" xr3:uid="{00000000-0010-0000-0000-00000C000000}" name="Away Goal" dataDxfId="0"/>
    <tableColumn id="13" xr3:uid="{00000000-0010-0000-0000-00000D000000}" name="Away Team" dataDxfId="10"/>
    <tableColumn id="27" xr3:uid="{7E99D02C-DA40-4D0B-9599-D7EEB857D480}" name="Win %" dataDxfId="9"/>
    <tableColumn id="26" xr3:uid="{0B770359-609D-42D8-8B2A-9C5B92F8AAC7}" name="Draw %" dataDxfId="8"/>
    <tableColumn id="25" xr3:uid="{214D585A-B739-4F9C-8A04-97B6616EB67C}" name="Loss %" dataDxfId="7"/>
    <tableColumn id="29" xr3:uid="{CA8F1048-B3E3-4931-90EB-FE4B5ED2EC34}" name="Projected Home Goal" dataDxfId="6"/>
    <tableColumn id="28" xr3:uid="{3820D5E3-1CA3-44C1-8ABA-E7A76FF5D105}" name="Projected Away Goal" dataDxfId="5"/>
    <tableColumn id="14" xr3:uid="{00000000-0010-0000-0000-00000E000000}" name="Last Update Time" dataDxfId="4"/>
    <tableColumn id="15" xr3:uid="{00000000-0010-0000-0000-00000F000000}" name="Stage" dataDxfId="3"/>
    <tableColumn id="16" xr3:uid="{00000000-0010-0000-0000-000010000000}" name="Status" dataDxfId="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B1A1C3D-1086-45E2-8571-7F2FF90CBDAB}" name="fixtures" displayName="fixtures" ref="A1:V381" tableType="queryTable" totalsRowShown="0">
  <autoFilter ref="A1:V381" xr:uid="{5B1A1C3D-1086-45E2-8571-7F2FF90CBDAB}"/>
  <tableColumns count="22">
    <tableColumn id="1" xr3:uid="{0B359AB2-0200-4E2C-B18A-72D65A588A31}" uniqueName="1" name="Match Day" queryTableFieldId="1"/>
    <tableColumn id="2" xr3:uid="{7FAEC639-6A0C-42B1-85C8-100307DC7A80}" uniqueName="2" name="MatchDate" queryTableFieldId="2" dataDxfId="27"/>
    <tableColumn id="3" xr3:uid="{F20D17C2-09E9-4119-B32A-2FA984FDB19F}" uniqueName="3" name="Match Time(New York)" queryTableFieldId="3" dataDxfId="26"/>
    <tableColumn id="4" xr3:uid="{F2AC8DAB-1334-4EE2-9309-CFEB84FFD264}" uniqueName="4" name="Match Time(London)" queryTableFieldId="4" dataDxfId="25"/>
    <tableColumn id="5" xr3:uid="{C4EB6908-4CCF-4FEA-8F40-F3BF65729597}" uniqueName="5" name="Match Time(Moscow)" queryTableFieldId="5" dataDxfId="24"/>
    <tableColumn id="6" xr3:uid="{865F5E58-B631-4FCA-8EE1-7A41EFCC1A31}" uniqueName="6" name="Match Time(Dubai)" queryTableFieldId="6" dataDxfId="23"/>
    <tableColumn id="7" xr3:uid="{691139D8-44FF-4B0D-BC85-EB124CB39955}" uniqueName="7" name="Match Time(Shanghai)" queryTableFieldId="7" dataDxfId="22"/>
    <tableColumn id="8" xr3:uid="{17C4B279-AA6F-444A-AF02-BDEB7942DD3D}" uniqueName="8" name="Fixture" queryTableFieldId="8" dataDxfId="40"/>
    <tableColumn id="9" xr3:uid="{42322A35-D594-42F3-BFF8-6F3D8CF542CE}" uniqueName="9" name="Stadium" queryTableFieldId="9" dataDxfId="39"/>
    <tableColumn id="10" xr3:uid="{F04E40A0-0183-483E-BF92-66BF41AAF7E2}" uniqueName="10" name="Home Team" queryTableFieldId="10" dataDxfId="38"/>
    <tableColumn id="11" xr3:uid="{C73840EF-6259-4BF1-BBBB-B099484F2978}" uniqueName="11" name="Home Goal" queryTableFieldId="11"/>
    <tableColumn id="12" xr3:uid="{A8E39823-4A17-4A5B-951F-35F1CD92B622}" uniqueName="12" name="Away Goal" queryTableFieldId="12"/>
    <tableColumn id="13" xr3:uid="{D524BE94-73DC-4DCE-AFE4-4CB49661EA3B}" uniqueName="13" name="Away Team" queryTableFieldId="13" dataDxfId="37"/>
    <tableColumn id="14" xr3:uid="{B21AB777-3FD9-4A56-AA99-C65640BD0703}" uniqueName="14" name="Win Probability" queryTableFieldId="14"/>
    <tableColumn id="15" xr3:uid="{1001746B-4B42-4FC0-B8A8-66B1ECDA7C62}" uniqueName="15" name="Draw Probability" queryTableFieldId="15"/>
    <tableColumn id="16" xr3:uid="{96F95A70-491F-4A5A-A769-6062C2F32A3D}" uniqueName="16" name="Loss Probability" queryTableFieldId="16"/>
    <tableColumn id="17" xr3:uid="{49276EA6-3F11-4AAF-9845-16CE0AFB1CED}" uniqueName="17" name="Expected Home Goal" queryTableFieldId="17"/>
    <tableColumn id="18" xr3:uid="{84D2C9DA-11AF-465F-A48B-2ED8E159F5F7}" uniqueName="18" name="Expected Away Goal" queryTableFieldId="18"/>
    <tableColumn id="19" xr3:uid="{1E64B04A-5EF4-4D8A-94B3-98E055CE38CA}" uniqueName="19" name="Last Update Time" queryTableFieldId="19" dataDxfId="21"/>
    <tableColumn id="20" xr3:uid="{59F754F5-B401-4C9E-9725-64583DA7B66E}" uniqueName="20" name="Stage" queryTableFieldId="20" dataDxfId="36"/>
    <tableColumn id="21" xr3:uid="{1D3A0908-AAD3-4529-B77D-2B7A2276A44F}" uniqueName="21" name="Status" queryTableFieldId="21" dataDxfId="35"/>
    <tableColumn id="22" xr3:uid="{CB0DE11C-E52B-403E-9D41-44DF8A0BAC26}" uniqueName="22" name="State" queryTableFieldId="22" dataDxfId="34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xcel4soccer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N34"/>
  <sheetViews>
    <sheetView showGridLines="0" tabSelected="1" zoomScale="70" zoomScaleNormal="70" workbookViewId="0"/>
  </sheetViews>
  <sheetFormatPr defaultRowHeight="15"/>
  <cols>
    <col min="2" max="2" width="37.7109375" bestFit="1" customWidth="1"/>
    <col min="3" max="3" width="18.42578125" customWidth="1"/>
    <col min="4" max="4" width="29.42578125" customWidth="1"/>
    <col min="5" max="5" width="28" customWidth="1"/>
    <col min="6" max="6" width="15.42578125" bestFit="1" customWidth="1"/>
    <col min="7" max="7" width="14.85546875" customWidth="1"/>
    <col min="8" max="8" width="174.85546875" customWidth="1"/>
    <col min="9" max="9" width="15.7109375" style="282" customWidth="1"/>
    <col min="10" max="11" width="9.140625" style="282"/>
  </cols>
  <sheetData>
    <row r="1" spans="1:11" ht="27" thickBot="1">
      <c r="A1" s="1"/>
      <c r="B1" s="337" t="s">
        <v>558</v>
      </c>
      <c r="C1" s="101" t="s">
        <v>90</v>
      </c>
      <c r="D1" s="102" t="s">
        <v>195</v>
      </c>
      <c r="E1" s="476"/>
      <c r="F1" s="476"/>
      <c r="G1" s="477"/>
      <c r="H1" s="481" t="s">
        <v>617</v>
      </c>
      <c r="J1" s="282" t="str">
        <f>VLOOKUP(D1,I2:K11,2,FALSE)</f>
        <v>D</v>
      </c>
      <c r="K1" s="282">
        <f>VLOOKUP(D1,I2:K11,3,FALSE)</f>
        <v>0</v>
      </c>
    </row>
    <row r="2" spans="1:11" ht="26.25">
      <c r="A2" s="5"/>
      <c r="B2" s="5" t="s">
        <v>1</v>
      </c>
      <c r="F2" s="107"/>
      <c r="G2" s="483" t="s">
        <v>623</v>
      </c>
      <c r="H2" s="479"/>
      <c r="I2" s="282" t="s">
        <v>194</v>
      </c>
      <c r="J2" s="282" t="s">
        <v>185</v>
      </c>
      <c r="K2" s="282">
        <v>0</v>
      </c>
    </row>
    <row r="3" spans="1:11" ht="26.25">
      <c r="A3" s="389"/>
      <c r="B3" s="389" t="s">
        <v>2</v>
      </c>
      <c r="F3" s="107"/>
      <c r="G3" s="478">
        <v>1</v>
      </c>
      <c r="H3" s="479" t="s">
        <v>618</v>
      </c>
      <c r="I3" s="282" t="s">
        <v>196</v>
      </c>
      <c r="J3" s="282" t="s">
        <v>185</v>
      </c>
      <c r="K3" s="282">
        <v>1</v>
      </c>
    </row>
    <row r="4" spans="1:11" ht="26.25">
      <c r="A4" s="411"/>
      <c r="B4" s="411" t="s">
        <v>3</v>
      </c>
      <c r="F4" s="107"/>
      <c r="G4" s="478">
        <v>2</v>
      </c>
      <c r="H4" s="479" t="s">
        <v>619</v>
      </c>
      <c r="I4" s="282" t="s">
        <v>197</v>
      </c>
      <c r="J4" s="282" t="s">
        <v>185</v>
      </c>
      <c r="K4" s="282">
        <v>2</v>
      </c>
    </row>
    <row r="5" spans="1:11" ht="26.25">
      <c r="A5" s="168"/>
      <c r="B5" s="168" t="s">
        <v>107</v>
      </c>
      <c r="F5" s="107"/>
      <c r="G5" s="478">
        <v>3</v>
      </c>
      <c r="H5" s="479" t="s">
        <v>183</v>
      </c>
      <c r="I5" s="282" t="s">
        <v>435</v>
      </c>
      <c r="J5" s="282" t="s">
        <v>185</v>
      </c>
      <c r="K5" s="282">
        <v>3</v>
      </c>
    </row>
    <row r="6" spans="1:11" ht="26.25">
      <c r="A6" s="8"/>
      <c r="B6" s="8" t="s">
        <v>4</v>
      </c>
      <c r="F6" s="107"/>
      <c r="G6" s="478">
        <v>4</v>
      </c>
      <c r="H6" s="479" t="s">
        <v>620</v>
      </c>
      <c r="I6" s="282" t="s">
        <v>195</v>
      </c>
      <c r="J6" s="282" t="s">
        <v>175</v>
      </c>
      <c r="K6" s="282">
        <v>0</v>
      </c>
    </row>
    <row r="7" spans="1:11" ht="26.25">
      <c r="A7" s="409"/>
      <c r="B7" s="409" t="s">
        <v>5</v>
      </c>
      <c r="E7" s="108"/>
      <c r="F7" s="107"/>
      <c r="G7" s="478">
        <v>5</v>
      </c>
      <c r="H7" s="479" t="s">
        <v>621</v>
      </c>
      <c r="I7" s="282" t="s">
        <v>198</v>
      </c>
      <c r="J7" s="282" t="s">
        <v>175</v>
      </c>
      <c r="K7" s="282">
        <v>-1</v>
      </c>
    </row>
    <row r="8" spans="1:11" ht="27" thickBot="1">
      <c r="A8" s="12"/>
      <c r="B8" s="12" t="s">
        <v>6</v>
      </c>
      <c r="E8" s="150"/>
      <c r="F8" s="107"/>
      <c r="G8" s="480"/>
      <c r="H8" s="482" t="s">
        <v>622</v>
      </c>
      <c r="I8" s="282" t="s">
        <v>199</v>
      </c>
      <c r="J8" s="282" t="s">
        <v>175</v>
      </c>
      <c r="K8" s="282">
        <v>-2</v>
      </c>
    </row>
    <row r="9" spans="1:11" ht="26.25">
      <c r="A9" s="15"/>
      <c r="B9" s="15" t="s">
        <v>7</v>
      </c>
      <c r="F9" s="107"/>
      <c r="I9" s="282" t="s">
        <v>200</v>
      </c>
      <c r="J9" s="282" t="s">
        <v>187</v>
      </c>
      <c r="K9" s="282">
        <v>0</v>
      </c>
    </row>
    <row r="10" spans="1:11" ht="27" thickBot="1">
      <c r="A10" s="16"/>
      <c r="B10" s="16" t="s">
        <v>8</v>
      </c>
      <c r="F10" s="107"/>
      <c r="I10" s="282" t="s">
        <v>201</v>
      </c>
      <c r="J10" s="282" t="s">
        <v>186</v>
      </c>
      <c r="K10" s="282">
        <v>0</v>
      </c>
    </row>
    <row r="11" spans="1:11" ht="26.25">
      <c r="A11" s="24"/>
      <c r="B11" s="24" t="s">
        <v>108</v>
      </c>
      <c r="D11" s="340" t="s">
        <v>207</v>
      </c>
      <c r="E11" s="341" t="s">
        <v>212</v>
      </c>
      <c r="F11" s="107"/>
      <c r="I11" s="282" t="s">
        <v>202</v>
      </c>
      <c r="J11" s="282" t="s">
        <v>0</v>
      </c>
      <c r="K11" s="282">
        <v>0</v>
      </c>
    </row>
    <row r="12" spans="1:11" ht="26.25">
      <c r="A12" s="415"/>
      <c r="B12" s="415" t="s">
        <v>444</v>
      </c>
      <c r="D12" s="342" t="s">
        <v>208</v>
      </c>
      <c r="E12" s="343">
        <v>2025</v>
      </c>
    </row>
    <row r="13" spans="1:11" ht="26.25">
      <c r="A13" s="18"/>
      <c r="B13" s="18" t="s">
        <v>9</v>
      </c>
      <c r="D13" s="342" t="s">
        <v>209</v>
      </c>
      <c r="E13" s="343">
        <v>20</v>
      </c>
    </row>
    <row r="14" spans="1:11" ht="26.25">
      <c r="A14" s="20"/>
      <c r="B14" s="20" t="s">
        <v>10</v>
      </c>
      <c r="D14" s="342" t="s">
        <v>210</v>
      </c>
      <c r="E14" s="344">
        <v>45884</v>
      </c>
      <c r="F14" s="104"/>
    </row>
    <row r="15" spans="1:11" ht="27" thickBot="1">
      <c r="A15" s="22"/>
      <c r="B15" s="22" t="s">
        <v>11</v>
      </c>
      <c r="D15" s="345" t="s">
        <v>211</v>
      </c>
      <c r="E15" s="346">
        <v>46166</v>
      </c>
      <c r="F15" s="202"/>
    </row>
    <row r="16" spans="1:11" ht="26.25">
      <c r="A16" s="24"/>
      <c r="B16" s="24" t="s">
        <v>12</v>
      </c>
      <c r="C16" s="135"/>
      <c r="D16" s="135"/>
      <c r="E16" s="135"/>
      <c r="F16" s="2"/>
    </row>
    <row r="17" spans="1:14" ht="26.25">
      <c r="A17" s="201"/>
      <c r="B17" s="201" t="s">
        <v>188</v>
      </c>
      <c r="C17" s="135"/>
      <c r="D17" s="211"/>
      <c r="E17" s="135"/>
      <c r="F17" s="2"/>
    </row>
    <row r="18" spans="1:14" ht="26.25">
      <c r="A18" s="26"/>
      <c r="B18" s="26" t="s">
        <v>13</v>
      </c>
      <c r="C18" s="135"/>
      <c r="D18" s="211"/>
      <c r="E18" s="135"/>
      <c r="F18" s="2"/>
    </row>
    <row r="19" spans="1:14" ht="26.25">
      <c r="A19" s="410"/>
      <c r="B19" s="410" t="s">
        <v>443</v>
      </c>
      <c r="C19" s="135"/>
      <c r="D19" s="135"/>
      <c r="E19" s="135"/>
    </row>
    <row r="20" spans="1:14" ht="26.25">
      <c r="A20" s="28"/>
      <c r="B20" s="28" t="s">
        <v>14</v>
      </c>
      <c r="C20" s="135"/>
      <c r="D20" s="135"/>
      <c r="E20" s="135"/>
    </row>
    <row r="21" spans="1:14" ht="26.25">
      <c r="A21" s="30"/>
      <c r="B21" s="30" t="s">
        <v>15</v>
      </c>
    </row>
    <row r="25" spans="1:14">
      <c r="C25" s="103"/>
    </row>
    <row r="26" spans="1:14">
      <c r="C26" s="103"/>
    </row>
    <row r="27" spans="1:14">
      <c r="C27" s="103"/>
    </row>
    <row r="29" spans="1:14" ht="26.25">
      <c r="A29" s="7" t="s">
        <v>153</v>
      </c>
      <c r="C29" s="180"/>
      <c r="D29" s="103"/>
      <c r="E29" s="103"/>
      <c r="F29" s="107"/>
      <c r="L29" s="103"/>
      <c r="M29" s="103"/>
      <c r="N29" s="103"/>
    </row>
    <row r="30" spans="1:14" ht="18.75">
      <c r="A30" s="1">
        <v>1</v>
      </c>
      <c r="B30" s="181" t="s">
        <v>154</v>
      </c>
      <c r="C30" s="103"/>
      <c r="D30" s="103"/>
      <c r="E30" s="103"/>
      <c r="F30" s="107"/>
      <c r="L30" s="103"/>
      <c r="M30" s="103"/>
      <c r="N30" s="103"/>
    </row>
    <row r="31" spans="1:14" ht="18.75">
      <c r="A31" s="1"/>
      <c r="B31" s="181"/>
      <c r="C31" s="103"/>
      <c r="D31" s="103"/>
      <c r="E31" s="103"/>
      <c r="F31" s="107"/>
      <c r="L31" s="103"/>
      <c r="M31" s="103"/>
      <c r="N31" s="103"/>
    </row>
    <row r="34" spans="1:1">
      <c r="A34" s="63" t="s">
        <v>442</v>
      </c>
    </row>
  </sheetData>
  <sheetProtection algorithmName="SHA-512" hashValue="eSf8rk5lq7gmYuKG7FW7XKUIXZMcEipsUwUgY53f10On8ZFeAHmr1n084CbfGL/4ltF4PBWc23LCB0Fd4KiDjA==" saltValue="FM+jD30RVtYYRZ81wCrt3Q==" spinCount="100000" sheet="1" objects="1" scenarios="1"/>
  <dataValidations count="1">
    <dataValidation type="list" allowBlank="1" showInputMessage="1" showErrorMessage="1" sqref="D1" xr:uid="{00000000-0002-0000-0000-000000000000}">
      <formula1>$I$2:$I$11</formula1>
    </dataValidation>
  </dataValidations>
  <hyperlinks>
    <hyperlink ref="B30" r:id="rId1" xr:uid="{00000000-0004-0000-0000-000000000000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2"/>
  <dimension ref="A1:V34"/>
  <sheetViews>
    <sheetView showGridLines="0" zoomScaleNormal="100" workbookViewId="0"/>
  </sheetViews>
  <sheetFormatPr defaultRowHeight="15"/>
  <cols>
    <col min="1" max="1" width="6.85546875" bestFit="1" customWidth="1"/>
    <col min="2" max="2" width="31.5703125" bestFit="1" customWidth="1"/>
    <col min="3" max="3" width="3.28515625" style="353" customWidth="1"/>
    <col min="4" max="4" width="9.5703125" bestFit="1" customWidth="1"/>
    <col min="5" max="5" width="6.5703125" bestFit="1" customWidth="1"/>
    <col min="6" max="6" width="8.7109375" bestFit="1" customWidth="1"/>
    <col min="7" max="7" width="6" bestFit="1" customWidth="1"/>
    <col min="8" max="8" width="7.5703125" bestFit="1" customWidth="1"/>
    <col min="9" max="9" width="10.42578125" bestFit="1" customWidth="1"/>
    <col min="10" max="10" width="6.7109375" bestFit="1" customWidth="1"/>
    <col min="11" max="11" width="8.42578125" bestFit="1" customWidth="1"/>
    <col min="12" max="16" width="5" bestFit="1" customWidth="1"/>
    <col min="17" max="17" width="3.42578125" style="32" customWidth="1"/>
    <col min="18" max="18" width="4" bestFit="1" customWidth="1"/>
    <col min="19" max="19" width="23.5703125" style="282" customWidth="1"/>
    <col min="21" max="21" width="55.140625" customWidth="1"/>
    <col min="22" max="22" width="25.28515625" customWidth="1"/>
  </cols>
  <sheetData>
    <row r="1" spans="1:22" s="32" customFormat="1" ht="19.5" thickBot="1">
      <c r="A1" s="364" t="s">
        <v>94</v>
      </c>
      <c r="B1" s="462" t="s">
        <v>95</v>
      </c>
      <c r="C1" s="462"/>
      <c r="D1" s="117" t="s">
        <v>96</v>
      </c>
      <c r="E1" s="117" t="s">
        <v>97</v>
      </c>
      <c r="F1" s="117" t="s">
        <v>98</v>
      </c>
      <c r="G1" s="117" t="s">
        <v>99</v>
      </c>
      <c r="H1" s="117" t="s">
        <v>100</v>
      </c>
      <c r="I1" s="117" t="s">
        <v>101</v>
      </c>
      <c r="J1" s="117" t="s">
        <v>102</v>
      </c>
      <c r="K1" s="117" t="s">
        <v>103</v>
      </c>
      <c r="L1" s="463" t="s">
        <v>104</v>
      </c>
      <c r="M1" s="464"/>
      <c r="N1" s="464"/>
      <c r="O1" s="464"/>
      <c r="P1" s="465"/>
      <c r="Q1" s="466" t="s">
        <v>176</v>
      </c>
      <c r="R1" s="467"/>
      <c r="S1" s="282"/>
      <c r="T1"/>
      <c r="U1"/>
      <c r="V1"/>
    </row>
    <row r="2" spans="1:22" ht="26.25">
      <c r="A2" s="130">
        <v>1</v>
      </c>
      <c r="B2" s="109" t="str">
        <f>VLOOKUP('League Table'!A2,tableTmp!$A$2:$S$21,2,FALSE)</f>
        <v>Arsenal</v>
      </c>
      <c r="C2" s="355" t="e" vm="1">
        <f>VLOOKUP('League Table'!B2,tableTmp!$B$2:$C$21,2,FALSE)</f>
        <v>#VALUE!</v>
      </c>
      <c r="D2" s="109">
        <f>VLOOKUP('League Table'!A2,tableTmp!$A$2:$S$21,4,FALSE)</f>
        <v>0</v>
      </c>
      <c r="E2" s="109">
        <f>VLOOKUP('League Table'!A2,tableTmp!$A$2:$S$21,5,FALSE)</f>
        <v>0</v>
      </c>
      <c r="F2" s="109">
        <f>VLOOKUP('League Table'!A2,tableTmp!$A$2:$S$21,6,FALSE)</f>
        <v>0</v>
      </c>
      <c r="G2" s="109">
        <f>VLOOKUP('League Table'!A2,tableTmp!$A$2:$S$21,7,FALSE)</f>
        <v>0</v>
      </c>
      <c r="H2" s="109">
        <f>VLOOKUP('League Table'!A2,tableTmp!$A$2:$S$21,8,FALSE)</f>
        <v>0</v>
      </c>
      <c r="I2" s="109">
        <f>VLOOKUP('League Table'!A2,tableTmp!$A$2:$S$21,9,FALSE)</f>
        <v>0</v>
      </c>
      <c r="J2" s="303">
        <f>VLOOKUP('League Table'!A2,tableTmp!$A$2:$S$21,10,FALSE)</f>
        <v>0</v>
      </c>
      <c r="K2" s="109">
        <f>VLOOKUP('League Table'!A2,tableTmp!$A$2:$S$21,11,FALSE)</f>
        <v>0</v>
      </c>
      <c r="L2" s="118" t="str">
        <f ca="1">VLOOKUP('League Table'!A2,tableTmp!$A$2:$S$21,12,FALSE)</f>
        <v/>
      </c>
      <c r="M2" s="119" t="str">
        <f ca="1">VLOOKUP('League Table'!A2,tableTmp!$A$2:$S$21,13,FALSE)</f>
        <v/>
      </c>
      <c r="N2" s="119" t="str">
        <f ca="1">VLOOKUP('League Table'!A2,tableTmp!$A$2:$S$21,14,FALSE)</f>
        <v/>
      </c>
      <c r="O2" s="119" t="str">
        <f ca="1">VLOOKUP('League Table'!A2,tableTmp!$A$2:$S$21,15,FALSE)</f>
        <v/>
      </c>
      <c r="P2" s="120" t="str">
        <f ca="1">VLOOKUP('League Table'!A2,tableTmp!$A$2:$S$21,16,FALSE)</f>
        <v/>
      </c>
      <c r="Q2" s="355" t="e" vm="2">
        <f ca="1">VLOOKUP('League Table'!S2,tableTmp!$B$2:$C$21,2,FALSE)</f>
        <v>#VALUE!</v>
      </c>
      <c r="R2" s="121" t="str">
        <f ca="1">VLOOKUP('League Table'!A2,tableTmp!$A$2:$S$21,18,FALSE)</f>
        <v>A</v>
      </c>
      <c r="S2" s="282" t="str">
        <f ca="1">VLOOKUP('League Table'!A2,tableTmp!$A$2:$S$21,17,FALSE)</f>
        <v>Man Utd</v>
      </c>
    </row>
    <row r="3" spans="1:22" ht="26.25">
      <c r="A3" s="130">
        <v>2</v>
      </c>
      <c r="B3" s="109" t="str">
        <f>VLOOKUP('League Table'!A3,tableTmp!$A$2:$S$21,2,FALSE)</f>
        <v>Aston Villa</v>
      </c>
      <c r="C3" s="355" t="e" vm="3">
        <f>VLOOKUP('League Table'!B3,tableTmp!$B$2:$C$21,2,FALSE)</f>
        <v>#VALUE!</v>
      </c>
      <c r="D3" s="109">
        <f>VLOOKUP('League Table'!A3,tableTmp!$A$2:$S$21,4,FALSE)</f>
        <v>0</v>
      </c>
      <c r="E3" s="109">
        <f>VLOOKUP('League Table'!A3,tableTmp!$A$2:$S$21,5,FALSE)</f>
        <v>0</v>
      </c>
      <c r="F3" s="109">
        <f>VLOOKUP('League Table'!A3,tableTmp!$A$2:$S$21,6,FALSE)</f>
        <v>0</v>
      </c>
      <c r="G3" s="109">
        <f>VLOOKUP('League Table'!A3,tableTmp!$A$2:$S$21,7,FALSE)</f>
        <v>0</v>
      </c>
      <c r="H3" s="109">
        <f>VLOOKUP('League Table'!A3,tableTmp!$A$2:$S$21,8,FALSE)</f>
        <v>0</v>
      </c>
      <c r="I3" s="109">
        <f>VLOOKUP('League Table'!A3,tableTmp!$A$2:$S$21,9,FALSE)</f>
        <v>0</v>
      </c>
      <c r="J3" s="109">
        <f>VLOOKUP('League Table'!A3,tableTmp!$A$2:$S$21,10,FALSE)</f>
        <v>0</v>
      </c>
      <c r="K3" s="109">
        <f>VLOOKUP('League Table'!A3,tableTmp!$A$2:$S$21,11,FALSE)</f>
        <v>0</v>
      </c>
      <c r="L3" s="122" t="str">
        <f ca="1">VLOOKUP('League Table'!A3,tableTmp!$A$2:$S$21,12,FALSE)</f>
        <v/>
      </c>
      <c r="M3" s="123" t="str">
        <f ca="1">VLOOKUP('League Table'!A3,tableTmp!$A$2:$S$21,13,FALSE)</f>
        <v/>
      </c>
      <c r="N3" s="123" t="str">
        <f ca="1">VLOOKUP('League Table'!A3,tableTmp!$A$2:$S$21,14,FALSE)</f>
        <v/>
      </c>
      <c r="O3" s="123" t="str">
        <f ca="1">VLOOKUP('League Table'!A3,tableTmp!$A$2:$S$21,15,FALSE)</f>
        <v/>
      </c>
      <c r="P3" s="106" t="str">
        <f ca="1">VLOOKUP('League Table'!A3,tableTmp!$A$2:$S$21,16,FALSE)</f>
        <v/>
      </c>
      <c r="Q3" s="355" t="e" vm="4">
        <f ca="1">VLOOKUP('League Table'!S3,tableTmp!$B$2:$C$21,2,FALSE)</f>
        <v>#VALUE!</v>
      </c>
      <c r="R3" s="121" t="str">
        <f ca="1">VLOOKUP('League Table'!A3,tableTmp!$A$2:$S$21,18,FALSE)</f>
        <v>H</v>
      </c>
      <c r="S3" s="282" t="str">
        <f ca="1">VLOOKUP('League Table'!A3,tableTmp!$A$2:$S$21,17,FALSE)</f>
        <v>Newcastle</v>
      </c>
    </row>
    <row r="4" spans="1:22" ht="26.25">
      <c r="A4" s="130">
        <v>3</v>
      </c>
      <c r="B4" s="109" t="str">
        <f>VLOOKUP('League Table'!A4,tableTmp!$A$2:$S$21,2,FALSE)</f>
        <v>Bournemouth</v>
      </c>
      <c r="C4" s="355" t="e" vm="5">
        <f>VLOOKUP('League Table'!B4,tableTmp!$B$2:$C$21,2,FALSE)</f>
        <v>#VALUE!</v>
      </c>
      <c r="D4" s="109">
        <f>VLOOKUP('League Table'!A4,tableTmp!$A$2:$S$21,4,FALSE)</f>
        <v>0</v>
      </c>
      <c r="E4" s="109">
        <f>VLOOKUP('League Table'!A4,tableTmp!$A$2:$S$21,5,FALSE)</f>
        <v>0</v>
      </c>
      <c r="F4" s="109">
        <f>VLOOKUP('League Table'!A4,tableTmp!$A$2:$S$21,6,FALSE)</f>
        <v>0</v>
      </c>
      <c r="G4" s="109">
        <f>VLOOKUP('League Table'!A4,tableTmp!$A$2:$S$21,7,FALSE)</f>
        <v>0</v>
      </c>
      <c r="H4" s="109">
        <f>VLOOKUP('League Table'!A4,tableTmp!$A$2:$S$21,8,FALSE)</f>
        <v>0</v>
      </c>
      <c r="I4" s="109">
        <f>VLOOKUP('League Table'!A4,tableTmp!$A$2:$S$21,9,FALSE)</f>
        <v>0</v>
      </c>
      <c r="J4" s="303">
        <f>VLOOKUP('League Table'!A4,tableTmp!$A$2:$S$21,10,FALSE)</f>
        <v>0</v>
      </c>
      <c r="K4" s="109">
        <f>VLOOKUP('League Table'!A4,tableTmp!$A$2:$S$21,11,FALSE)</f>
        <v>0</v>
      </c>
      <c r="L4" s="122" t="str">
        <f ca="1">VLOOKUP('League Table'!A4,tableTmp!$A$2:$S$21,12,FALSE)</f>
        <v/>
      </c>
      <c r="M4" s="123" t="str">
        <f ca="1">VLOOKUP('League Table'!A4,tableTmp!$A$2:$S$21,13,FALSE)</f>
        <v/>
      </c>
      <c r="N4" s="123" t="str">
        <f ca="1">VLOOKUP('League Table'!A4,tableTmp!$A$2:$S$21,14,FALSE)</f>
        <v/>
      </c>
      <c r="O4" s="123" t="str">
        <f ca="1">VLOOKUP('League Table'!A4,tableTmp!$A$2:$S$21,15,FALSE)</f>
        <v/>
      </c>
      <c r="P4" s="106" t="str">
        <f ca="1">VLOOKUP('League Table'!A4,tableTmp!$A$2:$S$21,16,FALSE)</f>
        <v/>
      </c>
      <c r="Q4" s="355" t="e" vm="6">
        <f ca="1">VLOOKUP('League Table'!S4,tableTmp!$B$2:$C$21,2,FALSE)</f>
        <v>#VALUE!</v>
      </c>
      <c r="R4" s="121" t="str">
        <f ca="1">VLOOKUP('League Table'!A4,tableTmp!$A$2:$S$21,18,FALSE)</f>
        <v>A</v>
      </c>
      <c r="S4" s="282" t="str">
        <f ca="1">VLOOKUP('League Table'!A4,tableTmp!$A$2:$S$21,17,FALSE)</f>
        <v>Liverpool</v>
      </c>
    </row>
    <row r="5" spans="1:22" ht="26.25">
      <c r="A5" s="130">
        <v>4</v>
      </c>
      <c r="B5" s="109" t="str">
        <f>VLOOKUP('League Table'!A5,tableTmp!$A$2:$S$21,2,FALSE)</f>
        <v>Brentford</v>
      </c>
      <c r="C5" s="355" t="e" vm="7">
        <f>VLOOKUP('League Table'!B5,tableTmp!$B$2:$C$21,2,FALSE)</f>
        <v>#VALUE!</v>
      </c>
      <c r="D5" s="109">
        <f>VLOOKUP('League Table'!A5,tableTmp!$A$2:$S$21,4,FALSE)</f>
        <v>0</v>
      </c>
      <c r="E5" s="109">
        <f>VLOOKUP('League Table'!A5,tableTmp!$A$2:$S$21,5,FALSE)</f>
        <v>0</v>
      </c>
      <c r="F5" s="109">
        <f>VLOOKUP('League Table'!A5,tableTmp!$A$2:$S$21,6,FALSE)</f>
        <v>0</v>
      </c>
      <c r="G5" s="109">
        <f>VLOOKUP('League Table'!A5,tableTmp!$A$2:$S$21,7,FALSE)</f>
        <v>0</v>
      </c>
      <c r="H5" s="109">
        <f>VLOOKUP('League Table'!A5,tableTmp!$A$2:$S$21,8,FALSE)</f>
        <v>0</v>
      </c>
      <c r="I5" s="109">
        <f>VLOOKUP('League Table'!A5,tableTmp!$A$2:$S$21,9,FALSE)</f>
        <v>0</v>
      </c>
      <c r="J5" s="109">
        <f>VLOOKUP('League Table'!A5,tableTmp!$A$2:$S$21,10,FALSE)</f>
        <v>0</v>
      </c>
      <c r="K5" s="109">
        <f>VLOOKUP('League Table'!A5,tableTmp!$A$2:$S$21,11,FALSE)</f>
        <v>0</v>
      </c>
      <c r="L5" s="122" t="str">
        <f ca="1">VLOOKUP('League Table'!A5,tableTmp!$A$2:$S$21,12,FALSE)</f>
        <v/>
      </c>
      <c r="M5" s="123" t="str">
        <f ca="1">VLOOKUP('League Table'!A5,tableTmp!$A$2:$S$21,13,FALSE)</f>
        <v/>
      </c>
      <c r="N5" s="123" t="str">
        <f ca="1">VLOOKUP('League Table'!A5,tableTmp!$A$2:$S$21,14,FALSE)</f>
        <v/>
      </c>
      <c r="O5" s="123" t="str">
        <f ca="1">VLOOKUP('League Table'!A5,tableTmp!$A$2:$S$21,15,FALSE)</f>
        <v/>
      </c>
      <c r="P5" s="106" t="str">
        <f ca="1">VLOOKUP('League Table'!A5,tableTmp!$A$2:$S$21,16,FALSE)</f>
        <v/>
      </c>
      <c r="Q5" s="355" t="e" vm="8">
        <f ca="1">VLOOKUP('League Table'!S5,tableTmp!$B$2:$C$21,2,FALSE)</f>
        <v>#VALUE!</v>
      </c>
      <c r="R5" s="121" t="str">
        <f ca="1">VLOOKUP('League Table'!A5,tableTmp!$A$2:$S$21,18,FALSE)</f>
        <v>A</v>
      </c>
      <c r="S5" s="282" t="str">
        <f ca="1">VLOOKUP('League Table'!A5,tableTmp!$A$2:$S$21,17,FALSE)</f>
        <v>Nott'm Forest</v>
      </c>
    </row>
    <row r="6" spans="1:22" ht="26.25">
      <c r="A6" s="131">
        <v>5</v>
      </c>
      <c r="B6" s="109" t="str">
        <f>VLOOKUP('League Table'!A6,tableTmp!$A$2:$S$21,2,FALSE)</f>
        <v>Brighton</v>
      </c>
      <c r="C6" s="355" t="e" vm="9">
        <f>VLOOKUP('League Table'!B6,tableTmp!$B$2:$C$21,2,FALSE)</f>
        <v>#VALUE!</v>
      </c>
      <c r="D6" s="109">
        <f>VLOOKUP('League Table'!A6,tableTmp!$A$2:$S$21,4,FALSE)</f>
        <v>0</v>
      </c>
      <c r="E6" s="109">
        <f>VLOOKUP('League Table'!A6,tableTmp!$A$2:$S$21,5,FALSE)</f>
        <v>0</v>
      </c>
      <c r="F6" s="109">
        <f>VLOOKUP('League Table'!A6,tableTmp!$A$2:$S$21,6,FALSE)</f>
        <v>0</v>
      </c>
      <c r="G6" s="109">
        <f>VLOOKUP('League Table'!A6,tableTmp!$A$2:$S$21,7,FALSE)</f>
        <v>0</v>
      </c>
      <c r="H6" s="109">
        <f>VLOOKUP('League Table'!A6,tableTmp!$A$2:$S$21,8,FALSE)</f>
        <v>0</v>
      </c>
      <c r="I6" s="109">
        <f>VLOOKUP('League Table'!A6,tableTmp!$A$2:$S$21,9,FALSE)</f>
        <v>0</v>
      </c>
      <c r="J6" s="109">
        <f>VLOOKUP('League Table'!A6,tableTmp!$A$2:$S$21,10,FALSE)</f>
        <v>0</v>
      </c>
      <c r="K6" s="109">
        <f>VLOOKUP('League Table'!A6,tableTmp!$A$2:$S$21,11,FALSE)</f>
        <v>0</v>
      </c>
      <c r="L6" s="122" t="str">
        <f ca="1">VLOOKUP('League Table'!A6,tableTmp!$A$2:$S$21,12,FALSE)</f>
        <v/>
      </c>
      <c r="M6" s="123" t="str">
        <f ca="1">VLOOKUP('League Table'!A6,tableTmp!$A$2:$S$21,13,FALSE)</f>
        <v/>
      </c>
      <c r="N6" s="123" t="str">
        <f ca="1">VLOOKUP('League Table'!A6,tableTmp!$A$2:$S$21,14,FALSE)</f>
        <v/>
      </c>
      <c r="O6" s="123" t="str">
        <f ca="1">VLOOKUP('League Table'!A6,tableTmp!$A$2:$S$21,15,FALSE)</f>
        <v/>
      </c>
      <c r="P6" s="106" t="str">
        <f ca="1">VLOOKUP('League Table'!A6,tableTmp!$A$2:$S$21,16,FALSE)</f>
        <v/>
      </c>
      <c r="Q6" s="355" t="e" vm="10">
        <f ca="1">VLOOKUP('League Table'!S6,tableTmp!$B$2:$C$21,2,FALSE)</f>
        <v>#VALUE!</v>
      </c>
      <c r="R6" s="121" t="str">
        <f ca="1">VLOOKUP('League Table'!A6,tableTmp!$A$2:$S$21,18,FALSE)</f>
        <v>H</v>
      </c>
      <c r="S6" s="282" t="str">
        <f ca="1">VLOOKUP('League Table'!A6,tableTmp!$A$2:$S$21,17,FALSE)</f>
        <v>Fulham</v>
      </c>
    </row>
    <row r="7" spans="1:22" ht="26.25">
      <c r="A7" s="132">
        <v>6</v>
      </c>
      <c r="B7" s="109" t="str">
        <f>VLOOKUP('League Table'!A7,tableTmp!$A$2:$S$21,2,FALSE)</f>
        <v>Burnley</v>
      </c>
      <c r="C7" s="355" t="e" vm="11">
        <f>VLOOKUP('League Table'!B7,tableTmp!$B$2:$C$21,2,FALSE)</f>
        <v>#VALUE!</v>
      </c>
      <c r="D7" s="109">
        <f>VLOOKUP('League Table'!A7,tableTmp!$A$2:$S$21,4,FALSE)</f>
        <v>0</v>
      </c>
      <c r="E7" s="109">
        <f>VLOOKUP('League Table'!A7,tableTmp!$A$2:$S$21,5,FALSE)</f>
        <v>0</v>
      </c>
      <c r="F7" s="109">
        <f>VLOOKUP('League Table'!A7,tableTmp!$A$2:$S$21,6,FALSE)</f>
        <v>0</v>
      </c>
      <c r="G7" s="109">
        <f>VLOOKUP('League Table'!A7,tableTmp!$A$2:$S$21,7,FALSE)</f>
        <v>0</v>
      </c>
      <c r="H7" s="109">
        <f>VLOOKUP('League Table'!A7,tableTmp!$A$2:$S$21,8,FALSE)</f>
        <v>0</v>
      </c>
      <c r="I7" s="109">
        <f>VLOOKUP('League Table'!A7,tableTmp!$A$2:$S$21,9,FALSE)</f>
        <v>0</v>
      </c>
      <c r="J7" s="109">
        <f>VLOOKUP('League Table'!A7,tableTmp!$A$2:$S$21,10,FALSE)</f>
        <v>0</v>
      </c>
      <c r="K7" s="109">
        <f>VLOOKUP('League Table'!A7,tableTmp!$A$2:$S$21,11,FALSE)</f>
        <v>0</v>
      </c>
      <c r="L7" s="122" t="str">
        <f ca="1">VLOOKUP('League Table'!A7,tableTmp!$A$2:$S$21,12,FALSE)</f>
        <v/>
      </c>
      <c r="M7" s="123" t="str">
        <f ca="1">VLOOKUP('League Table'!A7,tableTmp!$A$2:$S$21,13,FALSE)</f>
        <v/>
      </c>
      <c r="N7" s="123" t="str">
        <f ca="1">VLOOKUP('League Table'!A7,tableTmp!$A$2:$S$21,14,FALSE)</f>
        <v/>
      </c>
      <c r="O7" s="123" t="str">
        <f ca="1">VLOOKUP('League Table'!A7,tableTmp!$A$2:$S$21,15,FALSE)</f>
        <v/>
      </c>
      <c r="P7" s="106" t="str">
        <f ca="1">VLOOKUP('League Table'!A7,tableTmp!$A$2:$S$21,16,FALSE)</f>
        <v/>
      </c>
      <c r="Q7" s="355" t="e" vm="12">
        <f ca="1">VLOOKUP('League Table'!S7,tableTmp!$B$2:$C$21,2,FALSE)</f>
        <v>#VALUE!</v>
      </c>
      <c r="R7" s="121" t="str">
        <f ca="1">VLOOKUP('League Table'!A7,tableTmp!$A$2:$S$21,18,FALSE)</f>
        <v>A</v>
      </c>
      <c r="S7" s="282" t="str">
        <f ca="1">VLOOKUP('League Table'!A7,tableTmp!$A$2:$S$21,17,FALSE)</f>
        <v>Spurs</v>
      </c>
    </row>
    <row r="8" spans="1:22" ht="26.25">
      <c r="A8" s="132">
        <v>7</v>
      </c>
      <c r="B8" s="109" t="str">
        <f>VLOOKUP('League Table'!A8,tableTmp!$A$2:$S$21,2,FALSE)</f>
        <v>Chelsea</v>
      </c>
      <c r="C8" s="355" t="e" vm="13">
        <f>VLOOKUP('League Table'!B8,tableTmp!$B$2:$C$21,2,FALSE)</f>
        <v>#VALUE!</v>
      </c>
      <c r="D8" s="109">
        <f>VLOOKUP('League Table'!A8,tableTmp!$A$2:$S$21,4,FALSE)</f>
        <v>0</v>
      </c>
      <c r="E8" s="109">
        <f>VLOOKUP('League Table'!A8,tableTmp!$A$2:$S$21,5,FALSE)</f>
        <v>0</v>
      </c>
      <c r="F8" s="109">
        <f>VLOOKUP('League Table'!A8,tableTmp!$A$2:$S$21,6,FALSE)</f>
        <v>0</v>
      </c>
      <c r="G8" s="109">
        <f>VLOOKUP('League Table'!A8,tableTmp!$A$2:$S$21,7,FALSE)</f>
        <v>0</v>
      </c>
      <c r="H8" s="109">
        <f>VLOOKUP('League Table'!A8,tableTmp!$A$2:$S$21,8,FALSE)</f>
        <v>0</v>
      </c>
      <c r="I8" s="109">
        <f>VLOOKUP('League Table'!A8,tableTmp!$A$2:$S$21,9,FALSE)</f>
        <v>0</v>
      </c>
      <c r="J8" s="109">
        <f>VLOOKUP('League Table'!A8,tableTmp!$A$2:$S$21,10,FALSE)</f>
        <v>0</v>
      </c>
      <c r="K8" s="109">
        <f>VLOOKUP('League Table'!A8,tableTmp!$A$2:$S$21,11,FALSE)</f>
        <v>0</v>
      </c>
      <c r="L8" s="122" t="str">
        <f ca="1">VLOOKUP('League Table'!A8,tableTmp!$A$2:$S$21,12,FALSE)</f>
        <v/>
      </c>
      <c r="M8" s="123" t="str">
        <f ca="1">VLOOKUP('League Table'!A8,tableTmp!$A$2:$S$21,13,FALSE)</f>
        <v/>
      </c>
      <c r="N8" s="123" t="str">
        <f ca="1">VLOOKUP('League Table'!A8,tableTmp!$A$2:$S$21,14,FALSE)</f>
        <v/>
      </c>
      <c r="O8" s="123" t="str">
        <f ca="1">VLOOKUP('League Table'!A8,tableTmp!$A$2:$S$21,15,FALSE)</f>
        <v/>
      </c>
      <c r="P8" s="106" t="str">
        <f ca="1">VLOOKUP('League Table'!A8,tableTmp!$A$2:$S$21,16,FALSE)</f>
        <v/>
      </c>
      <c r="Q8" s="355" t="e" vm="14">
        <f ca="1">VLOOKUP('League Table'!S8,tableTmp!$B$2:$C$21,2,FALSE)</f>
        <v>#VALUE!</v>
      </c>
      <c r="R8" s="121" t="str">
        <f ca="1">VLOOKUP('League Table'!A8,tableTmp!$A$2:$S$21,18,FALSE)</f>
        <v>H</v>
      </c>
      <c r="S8" s="282" t="str">
        <f ca="1">VLOOKUP('League Table'!A8,tableTmp!$A$2:$S$21,17,FALSE)</f>
        <v>Crystal Palace</v>
      </c>
    </row>
    <row r="9" spans="1:22" ht="26.25">
      <c r="A9" s="132">
        <v>8</v>
      </c>
      <c r="B9" s="109" t="str">
        <f>VLOOKUP('League Table'!A9,tableTmp!$A$2:$S$21,2,FALSE)</f>
        <v>Crystal Palace</v>
      </c>
      <c r="C9" s="355" t="e" vm="14">
        <f>VLOOKUP('League Table'!B9,tableTmp!$B$2:$C$21,2,FALSE)</f>
        <v>#VALUE!</v>
      </c>
      <c r="D9" s="109">
        <f>VLOOKUP('League Table'!A9,tableTmp!$A$2:$S$21,4,FALSE)</f>
        <v>0</v>
      </c>
      <c r="E9" s="109">
        <f>VLOOKUP('League Table'!A9,tableTmp!$A$2:$S$21,5,FALSE)</f>
        <v>0</v>
      </c>
      <c r="F9" s="109">
        <f>VLOOKUP('League Table'!A9,tableTmp!$A$2:$S$21,6,FALSE)</f>
        <v>0</v>
      </c>
      <c r="G9" s="109">
        <f>VLOOKUP('League Table'!A9,tableTmp!$A$2:$S$21,7,FALSE)</f>
        <v>0</v>
      </c>
      <c r="H9" s="109">
        <f>VLOOKUP('League Table'!A9,tableTmp!$A$2:$S$21,8,FALSE)</f>
        <v>0</v>
      </c>
      <c r="I9" s="109">
        <f>VLOOKUP('League Table'!A9,tableTmp!$A$2:$S$21,9,FALSE)</f>
        <v>0</v>
      </c>
      <c r="J9" s="109">
        <f>VLOOKUP('League Table'!A9,tableTmp!$A$2:$S$21,10,FALSE)</f>
        <v>0</v>
      </c>
      <c r="K9" s="109">
        <f>VLOOKUP('League Table'!A9,tableTmp!$A$2:$S$21,11,FALSE)</f>
        <v>0</v>
      </c>
      <c r="L9" s="122" t="str">
        <f ca="1">VLOOKUP('League Table'!A9,tableTmp!$A$2:$S$21,12,FALSE)</f>
        <v/>
      </c>
      <c r="M9" s="123" t="str">
        <f ca="1">VLOOKUP('League Table'!A9,tableTmp!$A$2:$S$21,13,FALSE)</f>
        <v/>
      </c>
      <c r="N9" s="123" t="str">
        <f ca="1">VLOOKUP('League Table'!A9,tableTmp!$A$2:$S$21,14,FALSE)</f>
        <v/>
      </c>
      <c r="O9" s="123" t="str">
        <f ca="1">VLOOKUP('League Table'!A9,tableTmp!$A$2:$S$21,15,FALSE)</f>
        <v/>
      </c>
      <c r="P9" s="106" t="str">
        <f ca="1">VLOOKUP('League Table'!A9,tableTmp!$A$2:$S$21,16,FALSE)</f>
        <v/>
      </c>
      <c r="Q9" s="355" t="e" vm="13">
        <f ca="1">VLOOKUP('League Table'!S9,tableTmp!$B$2:$C$21,2,FALSE)</f>
        <v>#VALUE!</v>
      </c>
      <c r="R9" s="121" t="str">
        <f ca="1">VLOOKUP('League Table'!A9,tableTmp!$A$2:$S$21,18,FALSE)</f>
        <v>A</v>
      </c>
      <c r="S9" s="282" t="str">
        <f ca="1">VLOOKUP('League Table'!A9,tableTmp!$A$2:$S$21,17,FALSE)</f>
        <v>Chelsea</v>
      </c>
    </row>
    <row r="10" spans="1:22" ht="26.25">
      <c r="A10" s="132">
        <v>9</v>
      </c>
      <c r="B10" s="109" t="str">
        <f>VLOOKUP('League Table'!A10,tableTmp!$A$2:$S$21,2,FALSE)</f>
        <v>Everton</v>
      </c>
      <c r="C10" s="355" t="e" vm="15">
        <f>VLOOKUP('League Table'!B10,tableTmp!$B$2:$C$21,2,FALSE)</f>
        <v>#VALUE!</v>
      </c>
      <c r="D10" s="109">
        <f>VLOOKUP('League Table'!A10,tableTmp!$A$2:$S$21,4,FALSE)</f>
        <v>0</v>
      </c>
      <c r="E10" s="109">
        <f>VLOOKUP('League Table'!A10,tableTmp!$A$2:$S$21,5,FALSE)</f>
        <v>0</v>
      </c>
      <c r="F10" s="109">
        <f>VLOOKUP('League Table'!A10,tableTmp!$A$2:$S$21,6,FALSE)</f>
        <v>0</v>
      </c>
      <c r="G10" s="109">
        <f>VLOOKUP('League Table'!A10,tableTmp!$A$2:$S$21,7,FALSE)</f>
        <v>0</v>
      </c>
      <c r="H10" s="109">
        <f>VLOOKUP('League Table'!A10,tableTmp!$A$2:$S$21,8,FALSE)</f>
        <v>0</v>
      </c>
      <c r="I10" s="109">
        <f>VLOOKUP('League Table'!A10,tableTmp!$A$2:$S$21,9,FALSE)</f>
        <v>0</v>
      </c>
      <c r="J10" s="109">
        <f>VLOOKUP('League Table'!A10,tableTmp!$A$2:$S$21,10,FALSE)</f>
        <v>0</v>
      </c>
      <c r="K10" s="109">
        <f>VLOOKUP('League Table'!A10,tableTmp!$A$2:$S$21,11,FALSE)</f>
        <v>0</v>
      </c>
      <c r="L10" s="122" t="str">
        <f ca="1">VLOOKUP('League Table'!A10,tableTmp!$A$2:$S$21,12,FALSE)</f>
        <v/>
      </c>
      <c r="M10" s="123" t="str">
        <f ca="1">VLOOKUP('League Table'!A10,tableTmp!$A$2:$S$21,13,FALSE)</f>
        <v/>
      </c>
      <c r="N10" s="123" t="str">
        <f ca="1">VLOOKUP('League Table'!A10,tableTmp!$A$2:$S$21,14,FALSE)</f>
        <v/>
      </c>
      <c r="O10" s="123" t="str">
        <f ca="1">VLOOKUP('League Table'!A10,tableTmp!$A$2:$S$21,15,FALSE)</f>
        <v/>
      </c>
      <c r="P10" s="106" t="str">
        <f ca="1">VLOOKUP('League Table'!A10,tableTmp!$A$2:$S$21,16,FALSE)</f>
        <v/>
      </c>
      <c r="Q10" s="355" t="e" vm="16">
        <f ca="1">VLOOKUP('League Table'!S10,tableTmp!$B$2:$C$21,2,FALSE)</f>
        <v>#VALUE!</v>
      </c>
      <c r="R10" s="121" t="str">
        <f ca="1">VLOOKUP('League Table'!A10,tableTmp!$A$2:$S$21,18,FALSE)</f>
        <v>A</v>
      </c>
      <c r="S10" s="282" t="str">
        <f ca="1">VLOOKUP('League Table'!A10,tableTmp!$A$2:$S$21,17,FALSE)</f>
        <v>Leeds Utd</v>
      </c>
    </row>
    <row r="11" spans="1:22" ht="26.25">
      <c r="A11" s="132">
        <v>10</v>
      </c>
      <c r="B11" s="109" t="str">
        <f>VLOOKUP('League Table'!A11,tableTmp!$A$2:$S$21,2,FALSE)</f>
        <v>Fulham</v>
      </c>
      <c r="C11" s="355" t="e" vm="10">
        <f>VLOOKUP('League Table'!B11,tableTmp!$B$2:$C$21,2,FALSE)</f>
        <v>#VALUE!</v>
      </c>
      <c r="D11" s="109">
        <f>VLOOKUP('League Table'!A11,tableTmp!$A$2:$S$21,4,FALSE)</f>
        <v>0</v>
      </c>
      <c r="E11" s="109">
        <f>VLOOKUP('League Table'!A11,tableTmp!$A$2:$S$21,5,FALSE)</f>
        <v>0</v>
      </c>
      <c r="F11" s="109">
        <f>VLOOKUP('League Table'!A11,tableTmp!$A$2:$S$21,6,FALSE)</f>
        <v>0</v>
      </c>
      <c r="G11" s="109">
        <f>VLOOKUP('League Table'!A11,tableTmp!$A$2:$S$21,7,FALSE)</f>
        <v>0</v>
      </c>
      <c r="H11" s="109">
        <f>VLOOKUP('League Table'!A11,tableTmp!$A$2:$S$21,8,FALSE)</f>
        <v>0</v>
      </c>
      <c r="I11" s="109">
        <f>VLOOKUP('League Table'!A11,tableTmp!$A$2:$S$21,9,FALSE)</f>
        <v>0</v>
      </c>
      <c r="J11" s="109">
        <f>VLOOKUP('League Table'!A11,tableTmp!$A$2:$S$21,10,FALSE)</f>
        <v>0</v>
      </c>
      <c r="K11" s="109">
        <f>VLOOKUP('League Table'!A11,tableTmp!$A$2:$S$21,11,FALSE)</f>
        <v>0</v>
      </c>
      <c r="L11" s="122" t="str">
        <f ca="1">VLOOKUP('League Table'!A11,tableTmp!$A$2:$S$21,12,FALSE)</f>
        <v/>
      </c>
      <c r="M11" s="123" t="str">
        <f ca="1">VLOOKUP('League Table'!A11,tableTmp!$A$2:$S$21,13,FALSE)</f>
        <v/>
      </c>
      <c r="N11" s="123" t="str">
        <f ca="1">VLOOKUP('League Table'!A11,tableTmp!$A$2:$S$21,14,FALSE)</f>
        <v/>
      </c>
      <c r="O11" s="123" t="str">
        <f ca="1">VLOOKUP('League Table'!A11,tableTmp!$A$2:$S$21,15,FALSE)</f>
        <v/>
      </c>
      <c r="P11" s="106" t="str">
        <f ca="1">VLOOKUP('League Table'!A11,tableTmp!$A$2:$S$21,16,FALSE)</f>
        <v/>
      </c>
      <c r="Q11" s="355" t="e" vm="9">
        <f ca="1">VLOOKUP('League Table'!S11,tableTmp!$B$2:$C$21,2,FALSE)</f>
        <v>#VALUE!</v>
      </c>
      <c r="R11" s="121" t="str">
        <f ca="1">VLOOKUP('League Table'!A11,tableTmp!$A$2:$S$21,18,FALSE)</f>
        <v>A</v>
      </c>
      <c r="S11" s="282" t="str">
        <f ca="1">VLOOKUP('League Table'!A11,tableTmp!$A$2:$S$21,17,FALSE)</f>
        <v>Brighton</v>
      </c>
    </row>
    <row r="12" spans="1:22" ht="26.25">
      <c r="A12" s="132">
        <v>11</v>
      </c>
      <c r="B12" s="109" t="str">
        <f>VLOOKUP('League Table'!A12,tableTmp!$A$2:$S$21,2,FALSE)</f>
        <v>Leeds Utd</v>
      </c>
      <c r="C12" s="355" t="e" vm="16">
        <f>VLOOKUP('League Table'!B12,tableTmp!$B$2:$C$21,2,FALSE)</f>
        <v>#VALUE!</v>
      </c>
      <c r="D12" s="109">
        <f>VLOOKUP('League Table'!A12,tableTmp!$A$2:$S$21,4,FALSE)</f>
        <v>0</v>
      </c>
      <c r="E12" s="109">
        <f>VLOOKUP('League Table'!A12,tableTmp!$A$2:$S$21,5,FALSE)</f>
        <v>0</v>
      </c>
      <c r="F12" s="109">
        <f>VLOOKUP('League Table'!A12,tableTmp!$A$2:$S$21,6,FALSE)</f>
        <v>0</v>
      </c>
      <c r="G12" s="109">
        <f>VLOOKUP('League Table'!A12,tableTmp!$A$2:$S$21,7,FALSE)</f>
        <v>0</v>
      </c>
      <c r="H12" s="109">
        <f>VLOOKUP('League Table'!A12,tableTmp!$A$2:$S$21,8,FALSE)</f>
        <v>0</v>
      </c>
      <c r="I12" s="109">
        <f>VLOOKUP('League Table'!A12,tableTmp!$A$2:$S$21,9,FALSE)</f>
        <v>0</v>
      </c>
      <c r="J12" s="109">
        <f>VLOOKUP('League Table'!A12,tableTmp!$A$2:$S$21,10,FALSE)</f>
        <v>0</v>
      </c>
      <c r="K12" s="109">
        <f>VLOOKUP('League Table'!A12,tableTmp!$A$2:$S$21,11,FALSE)</f>
        <v>0</v>
      </c>
      <c r="L12" s="122" t="str">
        <f ca="1">VLOOKUP('League Table'!A12,tableTmp!$A$2:$S$21,12,FALSE)</f>
        <v/>
      </c>
      <c r="M12" s="123" t="str">
        <f ca="1">VLOOKUP('League Table'!A12,tableTmp!$A$2:$S$21,13,FALSE)</f>
        <v/>
      </c>
      <c r="N12" s="123" t="str">
        <f ca="1">VLOOKUP('League Table'!A12,tableTmp!$A$2:$S$21,14,FALSE)</f>
        <v/>
      </c>
      <c r="O12" s="123" t="str">
        <f ca="1">VLOOKUP('League Table'!A12,tableTmp!$A$2:$S$21,15,FALSE)</f>
        <v/>
      </c>
      <c r="P12" s="106" t="str">
        <f ca="1">VLOOKUP('League Table'!A12,tableTmp!$A$2:$S$21,16,FALSE)</f>
        <v/>
      </c>
      <c r="Q12" s="355" t="e" vm="15">
        <f ca="1">VLOOKUP('League Table'!S12,tableTmp!$B$2:$C$21,2,FALSE)</f>
        <v>#VALUE!</v>
      </c>
      <c r="R12" s="121" t="str">
        <f ca="1">VLOOKUP('League Table'!A12,tableTmp!$A$2:$S$21,18,FALSE)</f>
        <v>H</v>
      </c>
      <c r="S12" s="282" t="str">
        <f ca="1">VLOOKUP('League Table'!A12,tableTmp!$A$2:$S$21,17,FALSE)</f>
        <v>Everton</v>
      </c>
    </row>
    <row r="13" spans="1:22" ht="26.25">
      <c r="A13" s="132">
        <v>12</v>
      </c>
      <c r="B13" s="109" t="str">
        <f>VLOOKUP('League Table'!A13,tableTmp!$A$2:$S$21,2,FALSE)</f>
        <v>Liverpool</v>
      </c>
      <c r="C13" s="355" t="e" vm="6">
        <f>VLOOKUP('League Table'!B13,tableTmp!$B$2:$C$21,2,FALSE)</f>
        <v>#VALUE!</v>
      </c>
      <c r="D13" s="109">
        <f>VLOOKUP('League Table'!A13,tableTmp!$A$2:$S$21,4,FALSE)</f>
        <v>0</v>
      </c>
      <c r="E13" s="109">
        <f>VLOOKUP('League Table'!A13,tableTmp!$A$2:$S$21,5,FALSE)</f>
        <v>0</v>
      </c>
      <c r="F13" s="109">
        <f>VLOOKUP('League Table'!A13,tableTmp!$A$2:$S$21,6,FALSE)</f>
        <v>0</v>
      </c>
      <c r="G13" s="109">
        <f>VLOOKUP('League Table'!A13,tableTmp!$A$2:$S$21,7,FALSE)</f>
        <v>0</v>
      </c>
      <c r="H13" s="109">
        <f>VLOOKUP('League Table'!A13,tableTmp!$A$2:$S$21,8,FALSE)</f>
        <v>0</v>
      </c>
      <c r="I13" s="109">
        <f>VLOOKUP('League Table'!A13,tableTmp!$A$2:$S$21,9,FALSE)</f>
        <v>0</v>
      </c>
      <c r="J13" s="109">
        <f>VLOOKUP('League Table'!A13,tableTmp!$A$2:$S$21,10,FALSE)</f>
        <v>0</v>
      </c>
      <c r="K13" s="109">
        <f>VLOOKUP('League Table'!A13,tableTmp!$A$2:$S$21,11,FALSE)</f>
        <v>0</v>
      </c>
      <c r="L13" s="122" t="str">
        <f ca="1">VLOOKUP('League Table'!A13,tableTmp!$A$2:$S$21,12,FALSE)</f>
        <v/>
      </c>
      <c r="M13" s="123" t="str">
        <f ca="1">VLOOKUP('League Table'!A13,tableTmp!$A$2:$S$21,13,FALSE)</f>
        <v/>
      </c>
      <c r="N13" s="123" t="str">
        <f ca="1">VLOOKUP('League Table'!A13,tableTmp!$A$2:$S$21,14,FALSE)</f>
        <v/>
      </c>
      <c r="O13" s="123" t="str">
        <f ca="1">VLOOKUP('League Table'!A13,tableTmp!$A$2:$S$21,15,FALSE)</f>
        <v/>
      </c>
      <c r="P13" s="106" t="str">
        <f ca="1">VLOOKUP('League Table'!A13,tableTmp!$A$2:$S$21,16,FALSE)</f>
        <v/>
      </c>
      <c r="Q13" s="355" t="e" vm="5">
        <f ca="1">VLOOKUP('League Table'!S13,tableTmp!$B$2:$C$21,2,FALSE)</f>
        <v>#VALUE!</v>
      </c>
      <c r="R13" s="121" t="str">
        <f ca="1">VLOOKUP('League Table'!A13,tableTmp!$A$2:$S$21,18,FALSE)</f>
        <v>H</v>
      </c>
      <c r="S13" s="282" t="str">
        <f ca="1">VLOOKUP('League Table'!A13,tableTmp!$A$2:$S$21,17,FALSE)</f>
        <v>Bournemouth</v>
      </c>
    </row>
    <row r="14" spans="1:22" ht="26.25">
      <c r="A14" s="132">
        <v>13</v>
      </c>
      <c r="B14" s="109" t="str">
        <f>VLOOKUP('League Table'!A14,tableTmp!$A$2:$S$21,2,FALSE)</f>
        <v>Man City</v>
      </c>
      <c r="C14" s="355" t="e" vm="17">
        <f>VLOOKUP('League Table'!B14,tableTmp!$B$2:$C$21,2,FALSE)</f>
        <v>#VALUE!</v>
      </c>
      <c r="D14" s="109">
        <f>VLOOKUP('League Table'!A14,tableTmp!$A$2:$S$21,4,FALSE)</f>
        <v>0</v>
      </c>
      <c r="E14" s="109">
        <f>VLOOKUP('League Table'!A14,tableTmp!$A$2:$S$21,5,FALSE)</f>
        <v>0</v>
      </c>
      <c r="F14" s="109">
        <f>VLOOKUP('League Table'!A14,tableTmp!$A$2:$S$21,6,FALSE)</f>
        <v>0</v>
      </c>
      <c r="G14" s="109">
        <f>VLOOKUP('League Table'!A14,tableTmp!$A$2:$S$21,7,FALSE)</f>
        <v>0</v>
      </c>
      <c r="H14" s="109">
        <f>VLOOKUP('League Table'!A14,tableTmp!$A$2:$S$21,8,FALSE)</f>
        <v>0</v>
      </c>
      <c r="I14" s="109">
        <f>VLOOKUP('League Table'!A14,tableTmp!$A$2:$S$21,9,FALSE)</f>
        <v>0</v>
      </c>
      <c r="J14" s="109">
        <f>VLOOKUP('League Table'!A14,tableTmp!$A$2:$S$21,10,FALSE)</f>
        <v>0</v>
      </c>
      <c r="K14" s="109">
        <f>VLOOKUP('League Table'!A14,tableTmp!$A$2:$S$21,11,FALSE)</f>
        <v>0</v>
      </c>
      <c r="L14" s="122" t="str">
        <f ca="1">VLOOKUP('League Table'!A14,tableTmp!$A$2:$S$21,12,FALSE)</f>
        <v/>
      </c>
      <c r="M14" s="123" t="str">
        <f ca="1">VLOOKUP('League Table'!A14,tableTmp!$A$2:$S$21,13,FALSE)</f>
        <v/>
      </c>
      <c r="N14" s="123" t="str">
        <f ca="1">VLOOKUP('League Table'!A14,tableTmp!$A$2:$S$21,14,FALSE)</f>
        <v/>
      </c>
      <c r="O14" s="123" t="str">
        <f ca="1">VLOOKUP('League Table'!A14,tableTmp!$A$2:$S$21,15,FALSE)</f>
        <v/>
      </c>
      <c r="P14" s="106" t="str">
        <f ca="1">VLOOKUP('League Table'!A14,tableTmp!$A$2:$S$21,16,FALSE)</f>
        <v/>
      </c>
      <c r="Q14" s="355" t="e" vm="18">
        <f ca="1">VLOOKUP('League Table'!S14,tableTmp!$B$2:$C$21,2,FALSE)</f>
        <v>#VALUE!</v>
      </c>
      <c r="R14" s="121" t="str">
        <f ca="1">VLOOKUP('League Table'!A14,tableTmp!$A$2:$S$21,18,FALSE)</f>
        <v>A</v>
      </c>
      <c r="S14" s="282" t="str">
        <f ca="1">VLOOKUP('League Table'!A14,tableTmp!$A$2:$S$21,17,FALSE)</f>
        <v>Wolves</v>
      </c>
    </row>
    <row r="15" spans="1:22" ht="26.25">
      <c r="A15" s="132">
        <v>14</v>
      </c>
      <c r="B15" s="109" t="str">
        <f>VLOOKUP('League Table'!A15,tableTmp!$A$2:$S$21,2,FALSE)</f>
        <v>Man Utd</v>
      </c>
      <c r="C15" s="355" t="e" vm="2">
        <f>VLOOKUP('League Table'!B15,tableTmp!$B$2:$C$21,2,FALSE)</f>
        <v>#VALUE!</v>
      </c>
      <c r="D15" s="109">
        <f>VLOOKUP('League Table'!A15,tableTmp!$A$2:$S$21,4,FALSE)</f>
        <v>0</v>
      </c>
      <c r="E15" s="109">
        <f>VLOOKUP('League Table'!A15,tableTmp!$A$2:$S$21,5,FALSE)</f>
        <v>0</v>
      </c>
      <c r="F15" s="109">
        <f>VLOOKUP('League Table'!A15,tableTmp!$A$2:$S$21,6,FALSE)</f>
        <v>0</v>
      </c>
      <c r="G15" s="109">
        <f>VLOOKUP('League Table'!A15,tableTmp!$A$2:$S$21,7,FALSE)</f>
        <v>0</v>
      </c>
      <c r="H15" s="109">
        <f>VLOOKUP('League Table'!A15,tableTmp!$A$2:$S$21,8,FALSE)</f>
        <v>0</v>
      </c>
      <c r="I15" s="109">
        <f>VLOOKUP('League Table'!A15,tableTmp!$A$2:$S$21,9,FALSE)</f>
        <v>0</v>
      </c>
      <c r="J15" s="109">
        <f>VLOOKUP('League Table'!A15,tableTmp!$A$2:$S$21,10,FALSE)</f>
        <v>0</v>
      </c>
      <c r="K15" s="109">
        <f>VLOOKUP('League Table'!A15,tableTmp!$A$2:$S$21,11,FALSE)</f>
        <v>0</v>
      </c>
      <c r="L15" s="122" t="str">
        <f ca="1">VLOOKUP('League Table'!A15,tableTmp!$A$2:$S$21,12,FALSE)</f>
        <v/>
      </c>
      <c r="M15" s="123" t="str">
        <f ca="1">VLOOKUP('League Table'!A15,tableTmp!$A$2:$S$21,13,FALSE)</f>
        <v/>
      </c>
      <c r="N15" s="123" t="str">
        <f ca="1">VLOOKUP('League Table'!A15,tableTmp!$A$2:$S$21,14,FALSE)</f>
        <v/>
      </c>
      <c r="O15" s="123" t="str">
        <f ca="1">VLOOKUP('League Table'!A15,tableTmp!$A$2:$S$21,15,FALSE)</f>
        <v/>
      </c>
      <c r="P15" s="106" t="str">
        <f ca="1">VLOOKUP('League Table'!A15,tableTmp!$A$2:$S$21,16,FALSE)</f>
        <v/>
      </c>
      <c r="Q15" s="355" t="e" vm="1">
        <f ca="1">VLOOKUP('League Table'!S15,tableTmp!$B$2:$C$21,2,FALSE)</f>
        <v>#VALUE!</v>
      </c>
      <c r="R15" s="121" t="str">
        <f ca="1">VLOOKUP('League Table'!A15,tableTmp!$A$2:$S$21,18,FALSE)</f>
        <v>H</v>
      </c>
      <c r="S15" s="282" t="str">
        <f ca="1">VLOOKUP('League Table'!A15,tableTmp!$A$2:$S$21,17,FALSE)</f>
        <v>Arsenal</v>
      </c>
    </row>
    <row r="16" spans="1:22" ht="26.25">
      <c r="A16" s="132">
        <v>15</v>
      </c>
      <c r="B16" s="109" t="str">
        <f>VLOOKUP('League Table'!A16,tableTmp!$A$2:$S$21,2,FALSE)</f>
        <v>Newcastle</v>
      </c>
      <c r="C16" s="355" t="e" vm="4">
        <f>VLOOKUP('League Table'!B16,tableTmp!$B$2:$C$21,2,FALSE)</f>
        <v>#VALUE!</v>
      </c>
      <c r="D16" s="109">
        <f>VLOOKUP('League Table'!A16,tableTmp!$A$2:$S$21,4,FALSE)</f>
        <v>0</v>
      </c>
      <c r="E16" s="109">
        <f>VLOOKUP('League Table'!A16,tableTmp!$A$2:$S$21,5,FALSE)</f>
        <v>0</v>
      </c>
      <c r="F16" s="109">
        <f>VLOOKUP('League Table'!A16,tableTmp!$A$2:$S$21,6,FALSE)</f>
        <v>0</v>
      </c>
      <c r="G16" s="109">
        <f>VLOOKUP('League Table'!A16,tableTmp!$A$2:$S$21,7,FALSE)</f>
        <v>0</v>
      </c>
      <c r="H16" s="109">
        <f>VLOOKUP('League Table'!A16,tableTmp!$A$2:$S$21,8,FALSE)</f>
        <v>0</v>
      </c>
      <c r="I16" s="109">
        <f>VLOOKUP('League Table'!A16,tableTmp!$A$2:$S$21,9,FALSE)</f>
        <v>0</v>
      </c>
      <c r="J16" s="109">
        <f>VLOOKUP('League Table'!A16,tableTmp!$A$2:$S$21,10,FALSE)</f>
        <v>0</v>
      </c>
      <c r="K16" s="109">
        <f>VLOOKUP('League Table'!A16,tableTmp!$A$2:$S$21,11,FALSE)</f>
        <v>0</v>
      </c>
      <c r="L16" s="122" t="str">
        <f ca="1">VLOOKUP('League Table'!A16,tableTmp!$A$2:$S$21,12,FALSE)</f>
        <v/>
      </c>
      <c r="M16" s="123" t="str">
        <f ca="1">VLOOKUP('League Table'!A16,tableTmp!$A$2:$S$21,13,FALSE)</f>
        <v/>
      </c>
      <c r="N16" s="123" t="str">
        <f ca="1">VLOOKUP('League Table'!A16,tableTmp!$A$2:$S$21,14,FALSE)</f>
        <v/>
      </c>
      <c r="O16" s="123" t="str">
        <f ca="1">VLOOKUP('League Table'!A16,tableTmp!$A$2:$S$21,15,FALSE)</f>
        <v/>
      </c>
      <c r="P16" s="106" t="str">
        <f ca="1">VLOOKUP('League Table'!A16,tableTmp!$A$2:$S$21,16,FALSE)</f>
        <v/>
      </c>
      <c r="Q16" s="355" t="e" vm="3">
        <f ca="1">VLOOKUP('League Table'!S16,tableTmp!$B$2:$C$21,2,FALSE)</f>
        <v>#VALUE!</v>
      </c>
      <c r="R16" s="121" t="str">
        <f ca="1">VLOOKUP('League Table'!A16,tableTmp!$A$2:$S$21,18,FALSE)</f>
        <v>A</v>
      </c>
      <c r="S16" s="282" t="str">
        <f ca="1">VLOOKUP('League Table'!A16,tableTmp!$A$2:$S$21,17,FALSE)</f>
        <v>Aston Villa</v>
      </c>
    </row>
    <row r="17" spans="1:19" ht="26.25">
      <c r="A17" s="132">
        <v>16</v>
      </c>
      <c r="B17" s="109" t="str">
        <f>VLOOKUP('League Table'!A17,tableTmp!$A$2:$S$21,2,FALSE)</f>
        <v>Nott'm Forest</v>
      </c>
      <c r="C17" s="355" t="e" vm="8">
        <f>VLOOKUP('League Table'!B17,tableTmp!$B$2:$C$21,2,FALSE)</f>
        <v>#VALUE!</v>
      </c>
      <c r="D17" s="109">
        <f>VLOOKUP('League Table'!A17,tableTmp!$A$2:$S$21,4,FALSE)</f>
        <v>0</v>
      </c>
      <c r="E17" s="109">
        <f>VLOOKUP('League Table'!A17,tableTmp!$A$2:$S$21,5,FALSE)</f>
        <v>0</v>
      </c>
      <c r="F17" s="109">
        <f>VLOOKUP('League Table'!A17,tableTmp!$A$2:$S$21,6,FALSE)</f>
        <v>0</v>
      </c>
      <c r="G17" s="109">
        <f>VLOOKUP('League Table'!A17,tableTmp!$A$2:$S$21,7,FALSE)</f>
        <v>0</v>
      </c>
      <c r="H17" s="109">
        <f>VLOOKUP('League Table'!A17,tableTmp!$A$2:$S$21,8,FALSE)</f>
        <v>0</v>
      </c>
      <c r="I17" s="109">
        <f>VLOOKUP('League Table'!A17,tableTmp!$A$2:$S$21,9,FALSE)</f>
        <v>0</v>
      </c>
      <c r="J17" s="109">
        <f>VLOOKUP('League Table'!A17,tableTmp!$A$2:$S$21,10,FALSE)</f>
        <v>0</v>
      </c>
      <c r="K17" s="109">
        <f>VLOOKUP('League Table'!A17,tableTmp!$A$2:$S$21,11,FALSE)</f>
        <v>0</v>
      </c>
      <c r="L17" s="122" t="str">
        <f ca="1">VLOOKUP('League Table'!A17,tableTmp!$A$2:$S$21,12,FALSE)</f>
        <v/>
      </c>
      <c r="M17" s="123" t="str">
        <f ca="1">VLOOKUP('League Table'!A17,tableTmp!$A$2:$S$21,13,FALSE)</f>
        <v/>
      </c>
      <c r="N17" s="123" t="str">
        <f ca="1">VLOOKUP('League Table'!A17,tableTmp!$A$2:$S$21,14,FALSE)</f>
        <v/>
      </c>
      <c r="O17" s="123" t="str">
        <f ca="1">VLOOKUP('League Table'!A17,tableTmp!$A$2:$S$21,15,FALSE)</f>
        <v/>
      </c>
      <c r="P17" s="106" t="str">
        <f ca="1">VLOOKUP('League Table'!A17,tableTmp!$A$2:$S$21,16,FALSE)</f>
        <v/>
      </c>
      <c r="Q17" s="355" t="e" vm="7">
        <f ca="1">VLOOKUP('League Table'!S17,tableTmp!$B$2:$C$21,2,FALSE)</f>
        <v>#VALUE!</v>
      </c>
      <c r="R17" s="121" t="str">
        <f ca="1">VLOOKUP('League Table'!A17,tableTmp!$A$2:$S$21,18,FALSE)</f>
        <v>H</v>
      </c>
      <c r="S17" s="282" t="str">
        <f ca="1">VLOOKUP('League Table'!A17,tableTmp!$A$2:$S$21,17,FALSE)</f>
        <v>Brentford</v>
      </c>
    </row>
    <row r="18" spans="1:19" ht="26.25">
      <c r="A18" s="132">
        <v>17</v>
      </c>
      <c r="B18" s="109" t="str">
        <f>VLOOKUP('League Table'!A18,tableTmp!$A$2:$S$21,2,FALSE)</f>
        <v>Spurs</v>
      </c>
      <c r="C18" s="355" t="e" vm="12">
        <f>VLOOKUP('League Table'!B18,tableTmp!$B$2:$C$21,2,FALSE)</f>
        <v>#VALUE!</v>
      </c>
      <c r="D18" s="109">
        <f>VLOOKUP('League Table'!A18,tableTmp!$A$2:$S$21,4,FALSE)</f>
        <v>0</v>
      </c>
      <c r="E18" s="109">
        <f>VLOOKUP('League Table'!A18,tableTmp!$A$2:$S$21,5,FALSE)</f>
        <v>0</v>
      </c>
      <c r="F18" s="109">
        <f>VLOOKUP('League Table'!A18,tableTmp!$A$2:$S$21,6,FALSE)</f>
        <v>0</v>
      </c>
      <c r="G18" s="109">
        <f>VLOOKUP('League Table'!A18,tableTmp!$A$2:$S$21,7,FALSE)</f>
        <v>0</v>
      </c>
      <c r="H18" s="109">
        <f>VLOOKUP('League Table'!A18,tableTmp!$A$2:$S$21,8,FALSE)</f>
        <v>0</v>
      </c>
      <c r="I18" s="109">
        <f>VLOOKUP('League Table'!A18,tableTmp!$A$2:$S$21,9,FALSE)</f>
        <v>0</v>
      </c>
      <c r="J18" s="109">
        <f>VLOOKUP('League Table'!A18,tableTmp!$A$2:$S$21,10,FALSE)</f>
        <v>0</v>
      </c>
      <c r="K18" s="109">
        <f>VLOOKUP('League Table'!A18,tableTmp!$A$2:$S$21,11,FALSE)</f>
        <v>0</v>
      </c>
      <c r="L18" s="122" t="str">
        <f ca="1">VLOOKUP('League Table'!A18,tableTmp!$A$2:$S$21,12,FALSE)</f>
        <v/>
      </c>
      <c r="M18" s="123" t="str">
        <f ca="1">VLOOKUP('League Table'!A18,tableTmp!$A$2:$S$21,13,FALSE)</f>
        <v/>
      </c>
      <c r="N18" s="123" t="str">
        <f ca="1">VLOOKUP('League Table'!A18,tableTmp!$A$2:$S$21,14,FALSE)</f>
        <v/>
      </c>
      <c r="O18" s="123" t="str">
        <f ca="1">VLOOKUP('League Table'!A18,tableTmp!$A$2:$S$21,15,FALSE)</f>
        <v/>
      </c>
      <c r="P18" s="106" t="str">
        <f ca="1">VLOOKUP('League Table'!A18,tableTmp!$A$2:$S$21,16,FALSE)</f>
        <v/>
      </c>
      <c r="Q18" s="355" t="e" vm="11">
        <f ca="1">VLOOKUP('League Table'!S18,tableTmp!$B$2:$C$21,2,FALSE)</f>
        <v>#VALUE!</v>
      </c>
      <c r="R18" s="121" t="str">
        <f ca="1">VLOOKUP('League Table'!A18,tableTmp!$A$2:$S$21,18,FALSE)</f>
        <v>H</v>
      </c>
      <c r="S18" s="282" t="str">
        <f ca="1">VLOOKUP('League Table'!A18,tableTmp!$A$2:$S$21,17,FALSE)</f>
        <v>Burnley</v>
      </c>
    </row>
    <row r="19" spans="1:19" ht="26.25">
      <c r="A19" s="350">
        <v>18</v>
      </c>
      <c r="B19" s="109" t="str">
        <f>VLOOKUP('League Table'!A19,tableTmp!$A$2:$S$21,2,FALSE)</f>
        <v>Sunderland</v>
      </c>
      <c r="C19" s="355" t="e" vm="19">
        <f>VLOOKUP('League Table'!B19,tableTmp!$B$2:$C$21,2,FALSE)</f>
        <v>#VALUE!</v>
      </c>
      <c r="D19" s="109">
        <f>VLOOKUP('League Table'!A19,tableTmp!$A$2:$S$21,4,FALSE)</f>
        <v>0</v>
      </c>
      <c r="E19" s="109">
        <f>VLOOKUP('League Table'!A19,tableTmp!$A$2:$S$21,5,FALSE)</f>
        <v>0</v>
      </c>
      <c r="F19" s="109">
        <f>VLOOKUP('League Table'!A19,tableTmp!$A$2:$S$21,6,FALSE)</f>
        <v>0</v>
      </c>
      <c r="G19" s="109">
        <f>VLOOKUP('League Table'!A19,tableTmp!$A$2:$S$21,7,FALSE)</f>
        <v>0</v>
      </c>
      <c r="H19" s="109">
        <f>VLOOKUP('League Table'!A19,tableTmp!$A$2:$S$21,8,FALSE)</f>
        <v>0</v>
      </c>
      <c r="I19" s="109">
        <f>VLOOKUP('League Table'!A19,tableTmp!$A$2:$S$21,9,FALSE)</f>
        <v>0</v>
      </c>
      <c r="J19" s="109">
        <f>VLOOKUP('League Table'!A19,tableTmp!$A$2:$S$21,10,FALSE)</f>
        <v>0</v>
      </c>
      <c r="K19" s="109">
        <f>VLOOKUP('League Table'!A19,tableTmp!$A$2:$S$21,11,FALSE)</f>
        <v>0</v>
      </c>
      <c r="L19" s="122" t="str">
        <f ca="1">VLOOKUP('League Table'!A19,tableTmp!$A$2:$S$21,12,FALSE)</f>
        <v/>
      </c>
      <c r="M19" s="123" t="str">
        <f ca="1">VLOOKUP('League Table'!A19,tableTmp!$A$2:$S$21,13,FALSE)</f>
        <v/>
      </c>
      <c r="N19" s="123" t="str">
        <f ca="1">VLOOKUP('League Table'!A19,tableTmp!$A$2:$S$21,14,FALSE)</f>
        <v/>
      </c>
      <c r="O19" s="123" t="str">
        <f ca="1">VLOOKUP('League Table'!A19,tableTmp!$A$2:$S$21,15,FALSE)</f>
        <v/>
      </c>
      <c r="P19" s="106" t="str">
        <f ca="1">VLOOKUP('League Table'!A19,tableTmp!$A$2:$S$21,16,FALSE)</f>
        <v/>
      </c>
      <c r="Q19" s="355" t="e" vm="20">
        <f ca="1">VLOOKUP('League Table'!S19,tableTmp!$B$2:$C$21,2,FALSE)</f>
        <v>#VALUE!</v>
      </c>
      <c r="R19" s="121" t="str">
        <f ca="1">VLOOKUP('League Table'!A19,tableTmp!$A$2:$S$21,18,FALSE)</f>
        <v>H</v>
      </c>
      <c r="S19" s="282" t="str">
        <f ca="1">VLOOKUP('League Table'!A19,tableTmp!$A$2:$S$21,17,FALSE)</f>
        <v>West Ham</v>
      </c>
    </row>
    <row r="20" spans="1:19" ht="26.25">
      <c r="A20" s="350">
        <v>19</v>
      </c>
      <c r="B20" s="109" t="str">
        <f>VLOOKUP('League Table'!A20,tableTmp!$A$2:$S$21,2,FALSE)</f>
        <v>West Ham</v>
      </c>
      <c r="C20" s="355" t="e" vm="20">
        <f>VLOOKUP('League Table'!B20,tableTmp!$B$2:$C$21,2,FALSE)</f>
        <v>#VALUE!</v>
      </c>
      <c r="D20" s="109">
        <f>VLOOKUP('League Table'!A20,tableTmp!$A$2:$S$21,4,FALSE)</f>
        <v>0</v>
      </c>
      <c r="E20" s="109">
        <f>VLOOKUP('League Table'!A20,tableTmp!$A$2:$S$21,5,FALSE)</f>
        <v>0</v>
      </c>
      <c r="F20" s="109">
        <f>VLOOKUP('League Table'!A20,tableTmp!$A$2:$S$21,6,FALSE)</f>
        <v>0</v>
      </c>
      <c r="G20" s="109">
        <f>VLOOKUP('League Table'!A20,tableTmp!$A$2:$S$21,7,FALSE)</f>
        <v>0</v>
      </c>
      <c r="H20" s="109">
        <f>VLOOKUP('League Table'!A20,tableTmp!$A$2:$S$21,8,FALSE)</f>
        <v>0</v>
      </c>
      <c r="I20" s="109">
        <f>VLOOKUP('League Table'!A20,tableTmp!$A$2:$S$21,9,FALSE)</f>
        <v>0</v>
      </c>
      <c r="J20" s="109">
        <f>VLOOKUP('League Table'!A20,tableTmp!$A$2:$S$21,10,FALSE)</f>
        <v>0</v>
      </c>
      <c r="K20" s="109">
        <f>VLOOKUP('League Table'!A20,tableTmp!$A$2:$S$21,11,FALSE)</f>
        <v>0</v>
      </c>
      <c r="L20" s="122" t="str">
        <f ca="1">VLOOKUP('League Table'!A20,tableTmp!$A$2:$S$21,12,FALSE)</f>
        <v/>
      </c>
      <c r="M20" s="123" t="str">
        <f ca="1">VLOOKUP('League Table'!A20,tableTmp!$A$2:$S$21,13,FALSE)</f>
        <v/>
      </c>
      <c r="N20" s="123" t="str">
        <f ca="1">VLOOKUP('League Table'!A20,tableTmp!$A$2:$S$21,14,FALSE)</f>
        <v/>
      </c>
      <c r="O20" s="123" t="str">
        <f ca="1">VLOOKUP('League Table'!A20,tableTmp!$A$2:$S$21,15,FALSE)</f>
        <v/>
      </c>
      <c r="P20" s="106" t="str">
        <f ca="1">VLOOKUP('League Table'!A20,tableTmp!$A$2:$S$21,16,FALSE)</f>
        <v/>
      </c>
      <c r="Q20" s="355" t="e" vm="19">
        <f ca="1">VLOOKUP('League Table'!S20,tableTmp!$B$2:$C$21,2,FALSE)</f>
        <v>#VALUE!</v>
      </c>
      <c r="R20" s="121" t="str">
        <f ca="1">VLOOKUP('League Table'!A20,tableTmp!$A$2:$S$21,18,FALSE)</f>
        <v>A</v>
      </c>
      <c r="S20" s="282" t="str">
        <f ca="1">VLOOKUP('League Table'!A20,tableTmp!$A$2:$S$21,17,FALSE)</f>
        <v>Sunderland</v>
      </c>
    </row>
    <row r="21" spans="1:19" ht="27" thickBot="1">
      <c r="A21" s="351">
        <v>20</v>
      </c>
      <c r="B21" s="109" t="str">
        <f>VLOOKUP('League Table'!A21,tableTmp!$A$2:$S$21,2,FALSE)</f>
        <v>Wolves</v>
      </c>
      <c r="C21" s="355" t="e" vm="18">
        <f>VLOOKUP('League Table'!B21,tableTmp!$B$2:$C$21,2,FALSE)</f>
        <v>#VALUE!</v>
      </c>
      <c r="D21" s="109">
        <f>VLOOKUP('League Table'!A21,tableTmp!$A$2:$S$21,4,FALSE)</f>
        <v>0</v>
      </c>
      <c r="E21" s="109">
        <f>VLOOKUP('League Table'!A21,tableTmp!$A$2:$S$21,5,FALSE)</f>
        <v>0</v>
      </c>
      <c r="F21" s="109">
        <f>VLOOKUP('League Table'!A21,tableTmp!$A$2:$S$21,6,FALSE)</f>
        <v>0</v>
      </c>
      <c r="G21" s="109">
        <f>VLOOKUP('League Table'!A21,tableTmp!$A$2:$S$21,7,FALSE)</f>
        <v>0</v>
      </c>
      <c r="H21" s="109">
        <f>VLOOKUP('League Table'!A21,tableTmp!$A$2:$S$21,8,FALSE)</f>
        <v>0</v>
      </c>
      <c r="I21" s="109">
        <f>VLOOKUP('League Table'!A21,tableTmp!$A$2:$S$21,9,FALSE)</f>
        <v>0</v>
      </c>
      <c r="J21" s="109">
        <f>VLOOKUP('League Table'!A21,tableTmp!$A$2:$S$21,10,FALSE)</f>
        <v>0</v>
      </c>
      <c r="K21" s="109">
        <f>VLOOKUP('League Table'!A21,tableTmp!$A$2:$S$21,11,FALSE)</f>
        <v>0</v>
      </c>
      <c r="L21" s="125" t="str">
        <f ca="1">VLOOKUP('League Table'!A21,tableTmp!$A$2:$S$21,12,FALSE)</f>
        <v/>
      </c>
      <c r="M21" s="126" t="str">
        <f ca="1">VLOOKUP('League Table'!A21,tableTmp!$A$2:$S$21,13,FALSE)</f>
        <v/>
      </c>
      <c r="N21" s="126" t="str">
        <f ca="1">VLOOKUP('League Table'!A21,tableTmp!$A$2:$S$21,14,FALSE)</f>
        <v/>
      </c>
      <c r="O21" s="126" t="str">
        <f ca="1">VLOOKUP('League Table'!A21,tableTmp!$A$2:$S$21,15,FALSE)</f>
        <v/>
      </c>
      <c r="P21" s="110" t="str">
        <f ca="1">VLOOKUP('League Table'!A21,tableTmp!$A$2:$S$21,16,FALSE)</f>
        <v/>
      </c>
      <c r="Q21" s="355" t="e" vm="17">
        <f ca="1">VLOOKUP('League Table'!S21,tableTmp!$B$2:$C$21,2,FALSE)</f>
        <v>#VALUE!</v>
      </c>
      <c r="R21" s="121" t="str">
        <f ca="1">VLOOKUP('League Table'!A21,tableTmp!$A$2:$S$21,18,FALSE)</f>
        <v>H</v>
      </c>
      <c r="S21" s="282" t="str">
        <f ca="1">VLOOKUP('League Table'!A21,tableTmp!$A$2:$S$21,17,FALSE)</f>
        <v>Man City</v>
      </c>
    </row>
    <row r="22" spans="1:19">
      <c r="A22" s="127"/>
      <c r="B22" s="475" t="s">
        <v>182</v>
      </c>
      <c r="C22" s="356"/>
      <c r="D22" s="127"/>
      <c r="E22" s="127"/>
      <c r="F22" s="127"/>
      <c r="G22" s="127"/>
      <c r="H22" s="127"/>
      <c r="I22" s="127"/>
      <c r="J22" s="127"/>
      <c r="K22" s="127"/>
      <c r="Q22" s="128"/>
      <c r="R22" s="127"/>
    </row>
    <row r="23" spans="1:19" ht="26.25">
      <c r="A23" s="347"/>
      <c r="B23" s="2" t="s">
        <v>214</v>
      </c>
    </row>
    <row r="24" spans="1:19" ht="26.25">
      <c r="A24" s="348"/>
      <c r="B24" s="2" t="s">
        <v>215</v>
      </c>
    </row>
    <row r="25" spans="1:19" ht="26.25">
      <c r="A25" s="349"/>
      <c r="B25" s="2" t="s">
        <v>213</v>
      </c>
    </row>
    <row r="26" spans="1:19">
      <c r="Q26"/>
    </row>
    <row r="27" spans="1:19">
      <c r="Q27"/>
    </row>
    <row r="28" spans="1:19">
      <c r="A28" s="63" t="s">
        <v>442</v>
      </c>
      <c r="Q28"/>
    </row>
    <row r="29" spans="1:19">
      <c r="Q29"/>
    </row>
    <row r="30" spans="1:19">
      <c r="Q30"/>
    </row>
    <row r="31" spans="1:19">
      <c r="Q31"/>
      <c r="R31" t="s">
        <v>106</v>
      </c>
    </row>
    <row r="32" spans="1:19">
      <c r="Q32"/>
    </row>
    <row r="33" spans="17:17">
      <c r="Q33"/>
    </row>
    <row r="34" spans="17:17">
      <c r="Q34"/>
    </row>
  </sheetData>
  <sheetProtection algorithmName="SHA-512" hashValue="VRUQrqSOkZX1EOUunLg552CRzTKnNVZpB4GtaeocMjcqTVb06Z0MZKhbEar7PwzzFF7VD8UK67CDkzA7Wkbtog==" saltValue="w7kaYSlAcXCEPvv9rCX2rA==" spinCount="100000" sheet="1" objects="1" scenarios="1"/>
  <mergeCells count="3">
    <mergeCell ref="B1:C1"/>
    <mergeCell ref="L1:P1"/>
    <mergeCell ref="Q1:R1"/>
  </mergeCells>
  <conditionalFormatting sqref="L2:P21">
    <cfRule type="expression" dxfId="33" priority="1">
      <formula>L2="L"</formula>
    </cfRule>
    <cfRule type="expression" dxfId="32" priority="2">
      <formula>L2="W"</formula>
    </cfRule>
    <cfRule type="expression" dxfId="31" priority="3">
      <formula>L2="D"</formula>
    </cfRule>
  </conditionalFormatting>
  <dataValidations disablePrompts="1" count="1">
    <dataValidation type="list" showInputMessage="1" showErrorMessage="1" error="Please select a team" prompt="Select a Club" sqref="V19:V21" xr:uid="{00000000-0002-0000-0100-000000000000}">
      <formula1>$B$2:$B$21</formula1>
    </dataValidation>
  </dataValidation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1"/>
  <dimension ref="A1:X31"/>
  <sheetViews>
    <sheetView showGridLines="0" workbookViewId="0">
      <selection activeCell="R3" sqref="R3"/>
    </sheetView>
  </sheetViews>
  <sheetFormatPr defaultRowHeight="15"/>
  <cols>
    <col min="1" max="1" width="6.85546875" bestFit="1" customWidth="1"/>
    <col min="2" max="2" width="31.5703125" bestFit="1" customWidth="1"/>
    <col min="3" max="3" width="4.140625" style="353" customWidth="1"/>
    <col min="4" max="4" width="5.5703125" bestFit="1" customWidth="1"/>
    <col min="5" max="5" width="6.5703125" bestFit="1" customWidth="1"/>
    <col min="6" max="6" width="8.7109375" bestFit="1" customWidth="1"/>
    <col min="7" max="7" width="6" bestFit="1" customWidth="1"/>
    <col min="8" max="8" width="7.5703125" bestFit="1" customWidth="1"/>
    <col min="9" max="9" width="7.140625" customWidth="1"/>
    <col min="10" max="10" width="6.7109375" bestFit="1" customWidth="1"/>
    <col min="11" max="11" width="8.42578125" bestFit="1" customWidth="1"/>
    <col min="12" max="16" width="5" bestFit="1" customWidth="1"/>
    <col min="17" max="17" width="31.5703125" style="32" bestFit="1" customWidth="1"/>
    <col min="18" max="18" width="5.85546875" style="32" customWidth="1"/>
    <col min="19" max="19" width="7.140625" customWidth="1"/>
    <col min="20" max="20" width="7.85546875" customWidth="1"/>
    <col min="21" max="21" width="23.5703125" customWidth="1"/>
    <col min="24" max="24" width="25.28515625" customWidth="1"/>
  </cols>
  <sheetData>
    <row r="1" spans="1:22" s="32" customFormat="1" ht="18.75">
      <c r="A1" s="318" t="s">
        <v>94</v>
      </c>
      <c r="B1" s="468" t="s">
        <v>95</v>
      </c>
      <c r="C1" s="468"/>
      <c r="D1" s="318" t="s">
        <v>96</v>
      </c>
      <c r="E1" s="318" t="s">
        <v>97</v>
      </c>
      <c r="F1" s="318" t="s">
        <v>98</v>
      </c>
      <c r="G1" s="318" t="s">
        <v>99</v>
      </c>
      <c r="H1" s="318" t="s">
        <v>100</v>
      </c>
      <c r="I1" s="318" t="s">
        <v>101</v>
      </c>
      <c r="J1" s="318" t="s">
        <v>102</v>
      </c>
      <c r="K1" s="318" t="s">
        <v>103</v>
      </c>
      <c r="L1" s="469" t="s">
        <v>104</v>
      </c>
      <c r="M1" s="469"/>
      <c r="N1" s="469"/>
      <c r="O1" s="469"/>
      <c r="P1" s="469"/>
      <c r="Q1" s="469" t="s">
        <v>105</v>
      </c>
      <c r="R1" s="469"/>
      <c r="S1" s="469"/>
      <c r="T1" s="318" t="s">
        <v>216</v>
      </c>
      <c r="U1" s="318" t="s">
        <v>179</v>
      </c>
      <c r="V1" s="318" t="s">
        <v>181</v>
      </c>
    </row>
    <row r="2" spans="1:22" ht="26.25">
      <c r="A2" s="2">
        <f t="shared" ref="A2:A21" si="0">RANK(U2,U$2:U$21)</f>
        <v>1</v>
      </c>
      <c r="B2" s="4" t="s">
        <v>1</v>
      </c>
      <c r="C2" s="352" t="e" vm="21">
        <v>#VALUE!</v>
      </c>
      <c r="D2" s="4">
        <f>Fixtures_by_Clubs!B55</f>
        <v>0</v>
      </c>
      <c r="E2" s="4">
        <f>Fixtures_by_Clubs!B56</f>
        <v>0</v>
      </c>
      <c r="F2" s="4">
        <f>Fixtures_by_Clubs!B57</f>
        <v>0</v>
      </c>
      <c r="G2" s="4">
        <f>Fixtures_by_Clubs!B58</f>
        <v>0</v>
      </c>
      <c r="H2" s="4">
        <f>Fixtures_by_Clubs!E54</f>
        <v>0</v>
      </c>
      <c r="I2" s="4">
        <f>Fixtures_by_Clubs!E55</f>
        <v>0</v>
      </c>
      <c r="J2" s="133">
        <f>Fixtures_by_Clubs!E56</f>
        <v>0</v>
      </c>
      <c r="K2" s="4">
        <f>Fixtures_by_Clubs!B54-Deduction!$C$2</f>
        <v>0</v>
      </c>
      <c r="L2" s="2" t="str">
        <f ca="1">IFERROR(Fixtures_by_Clubs!G58,"")</f>
        <v/>
      </c>
      <c r="M2" s="2" t="str">
        <f ca="1">IFERROR(Fixtures_by_Clubs!G57,"")</f>
        <v/>
      </c>
      <c r="N2" s="2" t="str">
        <f ca="1">IFERROR(Fixtures_by_Clubs!G56,"")</f>
        <v/>
      </c>
      <c r="O2" s="2" t="str">
        <f ca="1">IFERROR(Fixtures_by_Clubs!G55,"")</f>
        <v/>
      </c>
      <c r="P2" s="2" t="str">
        <f ca="1">IFERROR(Fixtures_by_Clubs!G54,"")</f>
        <v/>
      </c>
      <c r="Q2" s="4" t="str">
        <f ca="1">IFERROR(Fixtures_by_Clubs!E58,"BLK")</f>
        <v>Man Utd</v>
      </c>
      <c r="R2" s="4" t="str">
        <f ca="1">IFERROR(Fixtures_by_Clubs!E59,"")</f>
        <v>A</v>
      </c>
      <c r="S2" s="4">
        <f>Fixtures_by_Clubs!E53</f>
        <v>0</v>
      </c>
      <c r="T2" s="4">
        <f>Fixtures_by_Clubs!E53</f>
        <v>0</v>
      </c>
      <c r="U2" s="3">
        <f>K2*100+J2+H2/100+T2/10000-D2/1000000-V2/100000000</f>
        <v>-1E-8</v>
      </c>
      <c r="V2" s="4">
        <v>1</v>
      </c>
    </row>
    <row r="3" spans="1:22" ht="26.25">
      <c r="A3" s="2">
        <f t="shared" si="0"/>
        <v>2</v>
      </c>
      <c r="B3" s="4" t="s">
        <v>2</v>
      </c>
      <c r="C3" s="352" t="e" vm="22">
        <v>#VALUE!</v>
      </c>
      <c r="D3" s="4">
        <f>Fixtures_by_Clubs!N55</f>
        <v>0</v>
      </c>
      <c r="E3" s="4">
        <f>Fixtures_by_Clubs!N56</f>
        <v>0</v>
      </c>
      <c r="F3" s="4">
        <f>Fixtures_by_Clubs!N57</f>
        <v>0</v>
      </c>
      <c r="G3" s="4">
        <f>Fixtures_by_Clubs!N58</f>
        <v>0</v>
      </c>
      <c r="H3" s="4">
        <f>Fixtures_by_Clubs!Q54</f>
        <v>0</v>
      </c>
      <c r="I3" s="4">
        <f>Fixtures_by_Clubs!Q55</f>
        <v>0</v>
      </c>
      <c r="J3" s="4">
        <f>Fixtures_by_Clubs!Q56</f>
        <v>0</v>
      </c>
      <c r="K3" s="4">
        <f>Fixtures_by_Clubs!N54-Deduction!$C$3</f>
        <v>0</v>
      </c>
      <c r="L3" s="2" t="str">
        <f ca="1">IFERROR(Fixtures_by_Clubs!S58,"")</f>
        <v/>
      </c>
      <c r="M3" s="2" t="str">
        <f ca="1">IFERROR(Fixtures_by_Clubs!S57,"")</f>
        <v/>
      </c>
      <c r="N3" s="2" t="str">
        <f ca="1">IFERROR(Fixtures_by_Clubs!S56,"")</f>
        <v/>
      </c>
      <c r="O3" s="2" t="str">
        <f ca="1">IFERROR(Fixtures_by_Clubs!S55,"")</f>
        <v/>
      </c>
      <c r="P3" s="2" t="str">
        <f ca="1">IFERROR(Fixtures_by_Clubs!S54,"")</f>
        <v/>
      </c>
      <c r="Q3" s="4" t="str">
        <f ca="1">IFERROR(Fixtures_by_Clubs!Q58,"BLK")</f>
        <v>Newcastle</v>
      </c>
      <c r="R3" s="4" t="str">
        <f ca="1">IFERROR(Fixtures_by_Clubs!Q59,"")</f>
        <v>H</v>
      </c>
      <c r="S3" s="4">
        <f>Fixtures_by_Clubs!Q53</f>
        <v>0</v>
      </c>
      <c r="T3" s="4">
        <f>Fixtures_by_Clubs!Q53</f>
        <v>0</v>
      </c>
      <c r="U3" s="3">
        <f t="shared" ref="U3:U21" si="1">K3*100+J3+H3/100+T3/10000-D3/1000000-V3/100000000</f>
        <v>-2E-8</v>
      </c>
      <c r="V3" s="4">
        <v>2</v>
      </c>
    </row>
    <row r="4" spans="1:22" ht="26.25">
      <c r="A4" s="2">
        <f t="shared" si="0"/>
        <v>3</v>
      </c>
      <c r="B4" s="4" t="s">
        <v>3</v>
      </c>
      <c r="C4" s="352" t="e" vm="23">
        <v>#VALUE!</v>
      </c>
      <c r="D4" s="4">
        <f>Fixtures_by_Clubs!Z55</f>
        <v>0</v>
      </c>
      <c r="E4" s="4">
        <f>Fixtures_by_Clubs!Z56</f>
        <v>0</v>
      </c>
      <c r="F4" s="4">
        <f>Fixtures_by_Clubs!Z57</f>
        <v>0</v>
      </c>
      <c r="G4" s="4">
        <f>Fixtures_by_Clubs!Z58</f>
        <v>0</v>
      </c>
      <c r="H4" s="4">
        <f>Fixtures_by_Clubs!AC54</f>
        <v>0</v>
      </c>
      <c r="I4" s="4">
        <f>Fixtures_by_Clubs!AC55</f>
        <v>0</v>
      </c>
      <c r="J4" s="4">
        <f>Fixtures_by_Clubs!AC56</f>
        <v>0</v>
      </c>
      <c r="K4" s="4">
        <f>Fixtures_by_Clubs!Z54-Deduction!$C$4</f>
        <v>0</v>
      </c>
      <c r="L4" s="2" t="str">
        <f ca="1">IFERROR(Fixtures_by_Clubs!AE58,"")</f>
        <v/>
      </c>
      <c r="M4" s="2" t="str">
        <f ca="1">IFERROR(Fixtures_by_Clubs!AE57,"")</f>
        <v/>
      </c>
      <c r="N4" s="2" t="str">
        <f ca="1">IFERROR(Fixtures_by_Clubs!AE56,"")</f>
        <v/>
      </c>
      <c r="O4" s="2" t="str">
        <f ca="1">IFERROR(Fixtures_by_Clubs!AE55,"")</f>
        <v/>
      </c>
      <c r="P4" s="2" t="str">
        <f ca="1">IFERROR(Fixtures_by_Clubs!AE54,"")</f>
        <v/>
      </c>
      <c r="Q4" s="4" t="str">
        <f ca="1">IFERROR(Fixtures_by_Clubs!AC58,"BLK")</f>
        <v>Liverpool</v>
      </c>
      <c r="R4" s="4" t="str">
        <f ca="1">IFERROR(Fixtures_by_Clubs!AC59,"")</f>
        <v>A</v>
      </c>
      <c r="S4" s="4">
        <f>Fixtures_by_Clubs!AC53</f>
        <v>0</v>
      </c>
      <c r="T4" s="4">
        <f>Fixtures_by_Clubs!AC53</f>
        <v>0</v>
      </c>
      <c r="U4" s="3">
        <f t="shared" si="1"/>
        <v>-2.9999999999999997E-8</v>
      </c>
      <c r="V4" s="4">
        <v>3</v>
      </c>
    </row>
    <row r="5" spans="1:22" ht="26.25">
      <c r="A5" s="2">
        <f t="shared" si="0"/>
        <v>4</v>
      </c>
      <c r="B5" s="4" t="s">
        <v>107</v>
      </c>
      <c r="C5" s="352" t="e" vm="24">
        <v>#VALUE!</v>
      </c>
      <c r="D5" s="4">
        <f>Fixtures_by_Clubs!AL55</f>
        <v>0</v>
      </c>
      <c r="E5" s="4">
        <f>Fixtures_by_Clubs!AL56</f>
        <v>0</v>
      </c>
      <c r="F5" s="4">
        <f>Fixtures_by_Clubs!AL57</f>
        <v>0</v>
      </c>
      <c r="G5" s="4">
        <f>Fixtures_by_Clubs!AL58</f>
        <v>0</v>
      </c>
      <c r="H5" s="4">
        <f>Fixtures_by_Clubs!AO54</f>
        <v>0</v>
      </c>
      <c r="I5" s="4">
        <f>Fixtures_by_Clubs!AO55</f>
        <v>0</v>
      </c>
      <c r="J5" s="4">
        <f>Fixtures_by_Clubs!AO56</f>
        <v>0</v>
      </c>
      <c r="K5" s="4">
        <f>Fixtures_by_Clubs!AL54-Deduction!$C$5</f>
        <v>0</v>
      </c>
      <c r="L5" s="2" t="str">
        <f ca="1">IFERROR(Fixtures_by_Clubs!AQ58,"")</f>
        <v/>
      </c>
      <c r="M5" s="2" t="str">
        <f ca="1">IFERROR(Fixtures_by_Clubs!AQ57,"")</f>
        <v/>
      </c>
      <c r="N5" s="2" t="str">
        <f ca="1">IFERROR(Fixtures_by_Clubs!AQ56,"")</f>
        <v/>
      </c>
      <c r="O5" s="2" t="str">
        <f ca="1">IFERROR(Fixtures_by_Clubs!AQ55,"")</f>
        <v/>
      </c>
      <c r="P5" s="2" t="str">
        <f ca="1">IFERROR(Fixtures_by_Clubs!AQ54,"")</f>
        <v/>
      </c>
      <c r="Q5" s="4" t="str">
        <f ca="1">IFERROR(Fixtures_by_Clubs!AO58,"BLK")</f>
        <v>Nott'm Forest</v>
      </c>
      <c r="R5" s="4" t="str">
        <f ca="1">IFERROR(Fixtures_by_Clubs!AO59,"")</f>
        <v>A</v>
      </c>
      <c r="S5" s="4">
        <f>Fixtures_by_Clubs!AO53</f>
        <v>0</v>
      </c>
      <c r="T5" s="4">
        <f>Fixtures_by_Clubs!AO53</f>
        <v>0</v>
      </c>
      <c r="U5" s="3">
        <f t="shared" si="1"/>
        <v>-4.0000000000000001E-8</v>
      </c>
      <c r="V5" s="4">
        <v>4</v>
      </c>
    </row>
    <row r="6" spans="1:22" ht="26.25">
      <c r="A6" s="2">
        <f t="shared" si="0"/>
        <v>5</v>
      </c>
      <c r="B6" s="4" t="s">
        <v>4</v>
      </c>
      <c r="C6" s="352" t="e" vm="25">
        <v>#VALUE!</v>
      </c>
      <c r="D6" s="4">
        <f>Fixtures_by_Clubs!AX55</f>
        <v>0</v>
      </c>
      <c r="E6" s="4">
        <f>Fixtures_by_Clubs!AX56</f>
        <v>0</v>
      </c>
      <c r="F6" s="4">
        <f>Fixtures_by_Clubs!AX57</f>
        <v>0</v>
      </c>
      <c r="G6" s="4">
        <f>Fixtures_by_Clubs!AX58</f>
        <v>0</v>
      </c>
      <c r="H6" s="4">
        <f>Fixtures_by_Clubs!BA54</f>
        <v>0</v>
      </c>
      <c r="I6" s="4">
        <f>Fixtures_by_Clubs!BA55</f>
        <v>0</v>
      </c>
      <c r="J6" s="4">
        <f>Fixtures_by_Clubs!BA56</f>
        <v>0</v>
      </c>
      <c r="K6" s="4">
        <f>Fixtures_by_Clubs!AX54-Deduction!$C$6</f>
        <v>0</v>
      </c>
      <c r="L6" s="2" t="str">
        <f ca="1">IFERROR(Fixtures_by_Clubs!BC58,"")</f>
        <v/>
      </c>
      <c r="M6" s="2" t="str">
        <f ca="1">IFERROR(Fixtures_by_Clubs!BC57,"")</f>
        <v/>
      </c>
      <c r="N6" s="2" t="str">
        <f ca="1">IFERROR(Fixtures_by_Clubs!BC56,"")</f>
        <v/>
      </c>
      <c r="O6" s="2" t="str">
        <f ca="1">IFERROR(Fixtures_by_Clubs!BC55,"")</f>
        <v/>
      </c>
      <c r="P6" s="2" t="str">
        <f ca="1">IFERROR(Fixtures_by_Clubs!BC54,"")</f>
        <v/>
      </c>
      <c r="Q6" s="4" t="str">
        <f ca="1">IFERROR(Fixtures_by_Clubs!BA58,"BLK")</f>
        <v>Fulham</v>
      </c>
      <c r="R6" s="4" t="str">
        <f ca="1">IFERROR(Fixtures_by_Clubs!BA59,"")</f>
        <v>H</v>
      </c>
      <c r="S6" s="4">
        <f>Fixtures_by_Clubs!BA53</f>
        <v>0</v>
      </c>
      <c r="T6" s="4">
        <f>Fixtures_by_Clubs!BA53</f>
        <v>0</v>
      </c>
      <c r="U6" s="3">
        <f t="shared" si="1"/>
        <v>-4.9999999999999998E-8</v>
      </c>
      <c r="V6" s="4">
        <v>5</v>
      </c>
    </row>
    <row r="7" spans="1:22" ht="26.25">
      <c r="A7" s="2">
        <f t="shared" si="0"/>
        <v>6</v>
      </c>
      <c r="B7" s="4" t="s">
        <v>5</v>
      </c>
      <c r="C7" s="352" t="e" vm="26">
        <v>#VALUE!</v>
      </c>
      <c r="D7" s="4">
        <f>Fixtures_by_Clubs!BJ55</f>
        <v>0</v>
      </c>
      <c r="E7" s="4">
        <f>Fixtures_by_Clubs!BJ56</f>
        <v>0</v>
      </c>
      <c r="F7" s="4">
        <f>Fixtures_by_Clubs!BJ57</f>
        <v>0</v>
      </c>
      <c r="G7" s="4">
        <f>Fixtures_by_Clubs!BJ58</f>
        <v>0</v>
      </c>
      <c r="H7" s="4">
        <f>Fixtures_by_Clubs!BM54</f>
        <v>0</v>
      </c>
      <c r="I7" s="4">
        <f>Fixtures_by_Clubs!BM55</f>
        <v>0</v>
      </c>
      <c r="J7" s="4">
        <f>Fixtures_by_Clubs!BM56</f>
        <v>0</v>
      </c>
      <c r="K7" s="4">
        <f>Fixtures_by_Clubs!BJ54-Deduction!$C$7</f>
        <v>0</v>
      </c>
      <c r="L7" s="2" t="str">
        <f ca="1">IFERROR(Fixtures_by_Clubs!BO58,"")</f>
        <v/>
      </c>
      <c r="M7" s="2" t="str">
        <f ca="1">IFERROR(Fixtures_by_Clubs!BO57,"")</f>
        <v/>
      </c>
      <c r="N7" s="2" t="str">
        <f ca="1">IFERROR(Fixtures_by_Clubs!BO56,"")</f>
        <v/>
      </c>
      <c r="O7" s="2" t="str">
        <f ca="1">IFERROR(Fixtures_by_Clubs!BO55,"")</f>
        <v/>
      </c>
      <c r="P7" s="2" t="str">
        <f ca="1">IFERROR(Fixtures_by_Clubs!BO54,"")</f>
        <v/>
      </c>
      <c r="Q7" s="4" t="str">
        <f ca="1">IFERROR(Fixtures_by_Clubs!BM58,"BLK")</f>
        <v>Spurs</v>
      </c>
      <c r="R7" s="4" t="str">
        <f ca="1">IFERROR(Fixtures_by_Clubs!BM59,"")</f>
        <v>A</v>
      </c>
      <c r="S7" s="4">
        <f>Fixtures_by_Clubs!BM53</f>
        <v>0</v>
      </c>
      <c r="T7" s="4">
        <f>Fixtures_by_Clubs!BM53</f>
        <v>0</v>
      </c>
      <c r="U7" s="3">
        <f t="shared" si="1"/>
        <v>-5.9999999999999995E-8</v>
      </c>
      <c r="V7" s="4">
        <v>6</v>
      </c>
    </row>
    <row r="8" spans="1:22" ht="26.25">
      <c r="A8" s="2">
        <f t="shared" si="0"/>
        <v>7</v>
      </c>
      <c r="B8" s="4" t="s">
        <v>6</v>
      </c>
      <c r="C8" s="352" t="e" vm="27">
        <v>#VALUE!</v>
      </c>
      <c r="D8" s="4">
        <f>Fixtures_by_Clubs!BV55</f>
        <v>0</v>
      </c>
      <c r="E8" s="4">
        <f>Fixtures_by_Clubs!BV56</f>
        <v>0</v>
      </c>
      <c r="F8" s="4">
        <f>Fixtures_by_Clubs!BV57</f>
        <v>0</v>
      </c>
      <c r="G8" s="4">
        <f>Fixtures_by_Clubs!BV58</f>
        <v>0</v>
      </c>
      <c r="H8" s="4">
        <f>Fixtures_by_Clubs!BY54</f>
        <v>0</v>
      </c>
      <c r="I8" s="4">
        <f>Fixtures_by_Clubs!BY55</f>
        <v>0</v>
      </c>
      <c r="J8" s="4">
        <f>Fixtures_by_Clubs!BY56</f>
        <v>0</v>
      </c>
      <c r="K8" s="4">
        <f>Fixtures_by_Clubs!BV54-Deduction!$C$8</f>
        <v>0</v>
      </c>
      <c r="L8" s="2" t="str">
        <f ca="1">IFERROR(Fixtures_by_Clubs!CA58,"")</f>
        <v/>
      </c>
      <c r="M8" s="2" t="str">
        <f ca="1">IFERROR(Fixtures_by_Clubs!CA57,"")</f>
        <v/>
      </c>
      <c r="N8" s="2" t="str">
        <f ca="1">IFERROR(Fixtures_by_Clubs!CA56,"")</f>
        <v/>
      </c>
      <c r="O8" s="2" t="str">
        <f ca="1">IFERROR(Fixtures_by_Clubs!CA55,"")</f>
        <v/>
      </c>
      <c r="P8" s="2" t="str">
        <f ca="1">IFERROR(Fixtures_by_Clubs!CA54,"")</f>
        <v/>
      </c>
      <c r="Q8" s="4" t="str">
        <f ca="1">IFERROR(Fixtures_by_Clubs!BY58,"BLK")</f>
        <v>Crystal Palace</v>
      </c>
      <c r="R8" s="4" t="str">
        <f ca="1">IFERROR(Fixtures_by_Clubs!BY59,"")</f>
        <v>H</v>
      </c>
      <c r="S8" s="4">
        <f>Fixtures_by_Clubs!BY53</f>
        <v>0</v>
      </c>
      <c r="T8" s="4">
        <f>Fixtures_by_Clubs!BY53</f>
        <v>0</v>
      </c>
      <c r="U8" s="3">
        <f t="shared" si="1"/>
        <v>-7.0000000000000005E-8</v>
      </c>
      <c r="V8" s="4">
        <v>7</v>
      </c>
    </row>
    <row r="9" spans="1:22" ht="26.25">
      <c r="A9" s="2">
        <f t="shared" si="0"/>
        <v>8</v>
      </c>
      <c r="B9" s="4" t="s">
        <v>7</v>
      </c>
      <c r="C9" s="352" t="e" vm="28">
        <v>#VALUE!</v>
      </c>
      <c r="D9" s="4">
        <f>Fixtures_by_Clubs!CH55</f>
        <v>0</v>
      </c>
      <c r="E9" s="4">
        <f>Fixtures_by_Clubs!CH56</f>
        <v>0</v>
      </c>
      <c r="F9" s="4">
        <f>Fixtures_by_Clubs!CH57</f>
        <v>0</v>
      </c>
      <c r="G9" s="4">
        <f>Fixtures_by_Clubs!CH58</f>
        <v>0</v>
      </c>
      <c r="H9" s="4">
        <f>Fixtures_by_Clubs!CK54</f>
        <v>0</v>
      </c>
      <c r="I9" s="4">
        <f>Fixtures_by_Clubs!CK55</f>
        <v>0</v>
      </c>
      <c r="J9" s="4">
        <f>Fixtures_by_Clubs!CK56</f>
        <v>0</v>
      </c>
      <c r="K9" s="4">
        <f>Fixtures_by_Clubs!CH54-Deduction!$C$9</f>
        <v>0</v>
      </c>
      <c r="L9" s="2" t="str">
        <f ca="1">IFERROR(Fixtures_by_Clubs!CM58,"")</f>
        <v/>
      </c>
      <c r="M9" s="2" t="str">
        <f ca="1">IFERROR(Fixtures_by_Clubs!CM57,"")</f>
        <v/>
      </c>
      <c r="N9" s="2" t="str">
        <f ca="1">IFERROR(Fixtures_by_Clubs!CM56,"")</f>
        <v/>
      </c>
      <c r="O9" s="2" t="str">
        <f ca="1">IFERROR(Fixtures_by_Clubs!CM55,"")</f>
        <v/>
      </c>
      <c r="P9" s="2" t="str">
        <f ca="1">IFERROR(Fixtures_by_Clubs!CM54,"")</f>
        <v/>
      </c>
      <c r="Q9" s="4" t="str">
        <f ca="1">IFERROR(Fixtures_by_Clubs!CK58,"BLK")</f>
        <v>Chelsea</v>
      </c>
      <c r="R9" s="4" t="str">
        <f ca="1">IFERROR(Fixtures_by_Clubs!CK59,"")</f>
        <v>A</v>
      </c>
      <c r="S9" s="4">
        <f>Fixtures_by_Clubs!CK53</f>
        <v>0</v>
      </c>
      <c r="T9" s="4">
        <f>Fixtures_by_Clubs!CK53</f>
        <v>0</v>
      </c>
      <c r="U9" s="3">
        <f t="shared" si="1"/>
        <v>-8.0000000000000002E-8</v>
      </c>
      <c r="V9" s="4">
        <v>8</v>
      </c>
    </row>
    <row r="10" spans="1:22" ht="26.25">
      <c r="A10" s="2">
        <f t="shared" si="0"/>
        <v>9</v>
      </c>
      <c r="B10" s="4" t="s">
        <v>8</v>
      </c>
      <c r="C10" s="352" t="e" vm="29">
        <v>#VALUE!</v>
      </c>
      <c r="D10" s="4">
        <f>Fixtures_by_Clubs!CT55</f>
        <v>0</v>
      </c>
      <c r="E10" s="4">
        <f>Fixtures_by_Clubs!CT56</f>
        <v>0</v>
      </c>
      <c r="F10" s="4">
        <f>Fixtures_by_Clubs!CT57</f>
        <v>0</v>
      </c>
      <c r="G10" s="4">
        <f>Fixtures_by_Clubs!CT58</f>
        <v>0</v>
      </c>
      <c r="H10" s="4">
        <f>Fixtures_by_Clubs!CW54</f>
        <v>0</v>
      </c>
      <c r="I10" s="4">
        <f>Fixtures_by_Clubs!CW55</f>
        <v>0</v>
      </c>
      <c r="J10" s="4">
        <f>Fixtures_by_Clubs!CW56</f>
        <v>0</v>
      </c>
      <c r="K10" s="4">
        <f>Fixtures_by_Clubs!CT54-Deduction!$C$10</f>
        <v>0</v>
      </c>
      <c r="L10" s="2" t="str">
        <f ca="1">IFERROR(Fixtures_by_Clubs!CY58,"")</f>
        <v/>
      </c>
      <c r="M10" s="2" t="str">
        <f ca="1">IFERROR(Fixtures_by_Clubs!CY57,"")</f>
        <v/>
      </c>
      <c r="N10" s="2" t="str">
        <f ca="1">IFERROR(Fixtures_by_Clubs!CY56,"")</f>
        <v/>
      </c>
      <c r="O10" s="2" t="str">
        <f ca="1">IFERROR(Fixtures_by_Clubs!CY55,"")</f>
        <v/>
      </c>
      <c r="P10" s="2" t="str">
        <f ca="1">IFERROR(Fixtures_by_Clubs!CY54,"")</f>
        <v/>
      </c>
      <c r="Q10" s="4" t="str">
        <f ca="1">IFERROR(Fixtures_by_Clubs!CW58,"BLK")</f>
        <v>Leeds Utd</v>
      </c>
      <c r="R10" s="4" t="str">
        <f ca="1">IFERROR(Fixtures_by_Clubs!CW59,"")</f>
        <v>A</v>
      </c>
      <c r="S10" s="4">
        <f>Fixtures_by_Clubs!CW53</f>
        <v>0</v>
      </c>
      <c r="T10" s="4">
        <f>Fixtures_by_Clubs!CW53</f>
        <v>0</v>
      </c>
      <c r="U10" s="3">
        <f t="shared" si="1"/>
        <v>-8.9999999999999999E-8</v>
      </c>
      <c r="V10" s="4">
        <v>9</v>
      </c>
    </row>
    <row r="11" spans="1:22" ht="26.25">
      <c r="A11" s="2">
        <f t="shared" si="0"/>
        <v>10</v>
      </c>
      <c r="B11" s="4" t="s">
        <v>108</v>
      </c>
      <c r="C11" s="353" t="e" vm="30">
        <v>#VALUE!</v>
      </c>
      <c r="D11" s="4">
        <f>Fixtures_by_Clubs!DF55</f>
        <v>0</v>
      </c>
      <c r="E11" s="4">
        <f>Fixtures_by_Clubs!DF56</f>
        <v>0</v>
      </c>
      <c r="F11" s="4">
        <f>Fixtures_by_Clubs!DF57</f>
        <v>0</v>
      </c>
      <c r="G11" s="4">
        <f>Fixtures_by_Clubs!DF58</f>
        <v>0</v>
      </c>
      <c r="H11" s="4">
        <f>Fixtures_by_Clubs!DI54</f>
        <v>0</v>
      </c>
      <c r="I11" s="4">
        <f>Fixtures_by_Clubs!DI55</f>
        <v>0</v>
      </c>
      <c r="J11" s="4">
        <f>Fixtures_by_Clubs!DI56</f>
        <v>0</v>
      </c>
      <c r="K11" s="4">
        <f>Fixtures_by_Clubs!DF54-Deduction!$C$11</f>
        <v>0</v>
      </c>
      <c r="L11" s="2" t="str">
        <f ca="1">IFERROR(Fixtures_by_Clubs!DK58,"")</f>
        <v/>
      </c>
      <c r="M11" s="2" t="str">
        <f ca="1">IFERROR(Fixtures_by_Clubs!DK57,"")</f>
        <v/>
      </c>
      <c r="N11" s="2" t="str">
        <f ca="1">IFERROR(Fixtures_by_Clubs!DK56,"")</f>
        <v/>
      </c>
      <c r="O11" s="2" t="str">
        <f ca="1">IFERROR(Fixtures_by_Clubs!DK55,"")</f>
        <v/>
      </c>
      <c r="P11" s="2" t="str">
        <f ca="1">IFERROR(Fixtures_by_Clubs!DK54,"")</f>
        <v/>
      </c>
      <c r="Q11" s="4" t="str">
        <f ca="1">IFERROR(Fixtures_by_Clubs!DI58,"BLK")</f>
        <v>Brighton</v>
      </c>
      <c r="R11" s="4" t="str">
        <f ca="1">IFERROR(Fixtures_by_Clubs!DI59,"")</f>
        <v>A</v>
      </c>
      <c r="S11" s="4">
        <f>Fixtures_by_Clubs!DI53</f>
        <v>0</v>
      </c>
      <c r="T11" s="4">
        <f>Fixtures_by_Clubs!DI53</f>
        <v>0</v>
      </c>
      <c r="U11" s="3">
        <f t="shared" si="1"/>
        <v>-9.9999999999999995E-8</v>
      </c>
      <c r="V11" s="4">
        <v>10</v>
      </c>
    </row>
    <row r="12" spans="1:22" ht="26.25">
      <c r="A12" s="2">
        <f t="shared" si="0"/>
        <v>11</v>
      </c>
      <c r="B12" s="4" t="s">
        <v>444</v>
      </c>
      <c r="C12" s="353" t="e" vm="31">
        <v>#VALUE!</v>
      </c>
      <c r="D12" s="4">
        <f>Fixtures_by_Clubs!DR55</f>
        <v>0</v>
      </c>
      <c r="E12" s="4">
        <f>Fixtures_by_Clubs!DR56</f>
        <v>0</v>
      </c>
      <c r="F12" s="4">
        <f>Fixtures_by_Clubs!DR57</f>
        <v>0</v>
      </c>
      <c r="G12" s="4">
        <f>Fixtures_by_Clubs!DR58</f>
        <v>0</v>
      </c>
      <c r="H12" s="4">
        <f>Fixtures_by_Clubs!DU54</f>
        <v>0</v>
      </c>
      <c r="I12" s="4">
        <f>Fixtures_by_Clubs!DU55</f>
        <v>0</v>
      </c>
      <c r="J12" s="4">
        <f>Fixtures_by_Clubs!DU56</f>
        <v>0</v>
      </c>
      <c r="K12" s="4">
        <f>Fixtures_by_Clubs!DR54-Deduction!$C$12</f>
        <v>0</v>
      </c>
      <c r="L12" s="2" t="str">
        <f ca="1">IFERROR(Fixtures_by_Clubs!DW58,"")</f>
        <v/>
      </c>
      <c r="M12" s="2" t="str">
        <f ca="1">IFERROR(Fixtures_by_Clubs!DW57,"")</f>
        <v/>
      </c>
      <c r="N12" s="2" t="str">
        <f ca="1">IFERROR(Fixtures_by_Clubs!DW56,"")</f>
        <v/>
      </c>
      <c r="O12" s="2" t="str">
        <f ca="1">IFERROR(Fixtures_by_Clubs!DW55,"")</f>
        <v/>
      </c>
      <c r="P12" s="2" t="str">
        <f ca="1">IFERROR(Fixtures_by_Clubs!DW54,"")</f>
        <v/>
      </c>
      <c r="Q12" s="4" t="str">
        <f ca="1">IFERROR(Fixtures_by_Clubs!DU58,"BLK")</f>
        <v>Everton</v>
      </c>
      <c r="R12" s="4" t="str">
        <f ca="1">IFERROR(Fixtures_by_Clubs!DU59,"")</f>
        <v>H</v>
      </c>
      <c r="S12" s="4">
        <f>Fixtures_by_Clubs!DU53</f>
        <v>0</v>
      </c>
      <c r="T12" s="4">
        <f>Fixtures_by_Clubs!DU53</f>
        <v>0</v>
      </c>
      <c r="U12" s="3">
        <f t="shared" si="1"/>
        <v>-1.1000000000000001E-7</v>
      </c>
      <c r="V12" s="4">
        <v>11</v>
      </c>
    </row>
    <row r="13" spans="1:22" ht="26.25">
      <c r="A13" s="2">
        <f t="shared" si="0"/>
        <v>12</v>
      </c>
      <c r="B13" s="4" t="s">
        <v>9</v>
      </c>
      <c r="C13" s="352" t="e" vm="32">
        <v>#VALUE!</v>
      </c>
      <c r="D13" s="4">
        <f>Fixtures_by_Clubs!ED55</f>
        <v>0</v>
      </c>
      <c r="E13" s="4">
        <f>Fixtures_by_Clubs!ED56</f>
        <v>0</v>
      </c>
      <c r="F13" s="4">
        <f>Fixtures_by_Clubs!ED57</f>
        <v>0</v>
      </c>
      <c r="G13" s="4">
        <f>Fixtures_by_Clubs!ED58</f>
        <v>0</v>
      </c>
      <c r="H13" s="4">
        <f>Fixtures_by_Clubs!EG54</f>
        <v>0</v>
      </c>
      <c r="I13" s="4">
        <f>Fixtures_by_Clubs!EG55</f>
        <v>0</v>
      </c>
      <c r="J13" s="4">
        <f>Fixtures_by_Clubs!EG56</f>
        <v>0</v>
      </c>
      <c r="K13" s="4">
        <f>Fixtures_by_Clubs!ED54-Deduction!$C$13</f>
        <v>0</v>
      </c>
      <c r="L13" s="2" t="str">
        <f ca="1">IFERROR(Fixtures_by_Clubs!EI58,"")</f>
        <v/>
      </c>
      <c r="M13" s="2" t="str">
        <f ca="1">IFERROR(Fixtures_by_Clubs!EI57,"")</f>
        <v/>
      </c>
      <c r="N13" s="2" t="str">
        <f ca="1">IFERROR(Fixtures_by_Clubs!EI56,"")</f>
        <v/>
      </c>
      <c r="O13" s="2" t="str">
        <f ca="1">IFERROR(Fixtures_by_Clubs!EI55,"")</f>
        <v/>
      </c>
      <c r="P13" s="2" t="str">
        <f ca="1">IFERROR(Fixtures_by_Clubs!EI54,"")</f>
        <v/>
      </c>
      <c r="Q13" s="4" t="str">
        <f ca="1">IFERROR(Fixtures_by_Clubs!EG58,"BLK")</f>
        <v>Bournemouth</v>
      </c>
      <c r="R13" s="4" t="str">
        <f ca="1">IFERROR(Fixtures_by_Clubs!EG59,"")</f>
        <v>H</v>
      </c>
      <c r="S13" s="4">
        <f>Fixtures_by_Clubs!EG53</f>
        <v>0</v>
      </c>
      <c r="T13" s="4">
        <f>Fixtures_by_Clubs!EG53</f>
        <v>0</v>
      </c>
      <c r="U13" s="3">
        <f t="shared" si="1"/>
        <v>-1.1999999999999999E-7</v>
      </c>
      <c r="V13" s="4">
        <v>12</v>
      </c>
    </row>
    <row r="14" spans="1:22" ht="26.25">
      <c r="A14" s="2">
        <f t="shared" si="0"/>
        <v>13</v>
      </c>
      <c r="B14" s="4" t="s">
        <v>10</v>
      </c>
      <c r="C14" s="352" t="e" vm="33">
        <v>#VALUE!</v>
      </c>
      <c r="D14" s="4">
        <f>Fixtures_by_Clubs!EP55</f>
        <v>0</v>
      </c>
      <c r="E14" s="4">
        <f>Fixtures_by_Clubs!EP56</f>
        <v>0</v>
      </c>
      <c r="F14" s="4">
        <f>Fixtures_by_Clubs!EP57</f>
        <v>0</v>
      </c>
      <c r="G14" s="4">
        <f>Fixtures_by_Clubs!EP58</f>
        <v>0</v>
      </c>
      <c r="H14" s="4">
        <f>Fixtures_by_Clubs!ES54</f>
        <v>0</v>
      </c>
      <c r="I14" s="4">
        <f>Fixtures_by_Clubs!ES55</f>
        <v>0</v>
      </c>
      <c r="J14" s="4">
        <f>Fixtures_by_Clubs!ES56</f>
        <v>0</v>
      </c>
      <c r="K14" s="4">
        <f>Fixtures_by_Clubs!EP54-Deduction!$C$14</f>
        <v>0</v>
      </c>
      <c r="L14" s="2" t="str">
        <f ca="1">IFERROR(Fixtures_by_Clubs!EU58,"")</f>
        <v/>
      </c>
      <c r="M14" s="2" t="str">
        <f ca="1">IFERROR(Fixtures_by_Clubs!EU57,"")</f>
        <v/>
      </c>
      <c r="N14" s="2" t="str">
        <f ca="1">IFERROR(Fixtures_by_Clubs!EU56,"")</f>
        <v/>
      </c>
      <c r="O14" s="2" t="str">
        <f ca="1">IFERROR(Fixtures_by_Clubs!EU55,"")</f>
        <v/>
      </c>
      <c r="P14" s="2" t="str">
        <f ca="1">IFERROR(Fixtures_by_Clubs!EU54,"")</f>
        <v/>
      </c>
      <c r="Q14" s="4" t="str">
        <f ca="1">IFERROR(Fixtures_by_Clubs!ES58,"BLK")</f>
        <v>Wolves</v>
      </c>
      <c r="R14" s="4" t="str">
        <f ca="1">IFERROR(Fixtures_by_Clubs!ES59,"")</f>
        <v>A</v>
      </c>
      <c r="S14" s="4">
        <f>Fixtures_by_Clubs!ES53</f>
        <v>0</v>
      </c>
      <c r="T14" s="4">
        <f>Fixtures_by_Clubs!ES53</f>
        <v>0</v>
      </c>
      <c r="U14" s="3">
        <f t="shared" si="1"/>
        <v>-1.3E-7</v>
      </c>
      <c r="V14" s="4">
        <v>13</v>
      </c>
    </row>
    <row r="15" spans="1:22" ht="26.25">
      <c r="A15" s="2">
        <f t="shared" si="0"/>
        <v>14</v>
      </c>
      <c r="B15" s="4" t="s">
        <v>11</v>
      </c>
      <c r="C15" s="352" t="e" vm="34">
        <v>#VALUE!</v>
      </c>
      <c r="D15" s="4">
        <f>Fixtures_by_Clubs!FB55</f>
        <v>0</v>
      </c>
      <c r="E15" s="4">
        <f>Fixtures_by_Clubs!FB56</f>
        <v>0</v>
      </c>
      <c r="F15" s="4">
        <f>Fixtures_by_Clubs!FB57</f>
        <v>0</v>
      </c>
      <c r="G15" s="4">
        <f>Fixtures_by_Clubs!FB58</f>
        <v>0</v>
      </c>
      <c r="H15" s="4">
        <f>Fixtures_by_Clubs!FE54</f>
        <v>0</v>
      </c>
      <c r="I15" s="4">
        <f>Fixtures_by_Clubs!FE55</f>
        <v>0</v>
      </c>
      <c r="J15" s="4">
        <f>Fixtures_by_Clubs!FE56</f>
        <v>0</v>
      </c>
      <c r="K15" s="4">
        <f>Fixtures_by_Clubs!FB54-Deduction!$C$15</f>
        <v>0</v>
      </c>
      <c r="L15" s="2" t="str">
        <f ca="1">IFERROR(Fixtures_by_Clubs!FG58,"")</f>
        <v/>
      </c>
      <c r="M15" s="2" t="str">
        <f ca="1">IFERROR(Fixtures_by_Clubs!FG57,"")</f>
        <v/>
      </c>
      <c r="N15" s="2" t="str">
        <f ca="1">IFERROR(Fixtures_by_Clubs!FG56,"")</f>
        <v/>
      </c>
      <c r="O15" s="2" t="str">
        <f ca="1">IFERROR(Fixtures_by_Clubs!FG55,"")</f>
        <v/>
      </c>
      <c r="P15" s="2" t="str">
        <f ca="1">IFERROR(Fixtures_by_Clubs!FG54,"")</f>
        <v/>
      </c>
      <c r="Q15" s="4" t="str">
        <f ca="1">IFERROR(Fixtures_by_Clubs!FE58,"BLK")</f>
        <v>Arsenal</v>
      </c>
      <c r="R15" s="4" t="str">
        <f ca="1">IFERROR(Fixtures_by_Clubs!FE59,"")</f>
        <v>H</v>
      </c>
      <c r="S15" s="4">
        <f>Fixtures_by_Clubs!FE53</f>
        <v>0</v>
      </c>
      <c r="T15" s="4">
        <f>Fixtures_by_Clubs!FE53</f>
        <v>0</v>
      </c>
      <c r="U15" s="3">
        <f t="shared" si="1"/>
        <v>-1.4000000000000001E-7</v>
      </c>
      <c r="V15" s="4">
        <v>14</v>
      </c>
    </row>
    <row r="16" spans="1:22" ht="26.25">
      <c r="A16" s="2">
        <f t="shared" si="0"/>
        <v>15</v>
      </c>
      <c r="B16" s="4" t="s">
        <v>12</v>
      </c>
      <c r="C16" s="352" t="e" vm="35">
        <v>#VALUE!</v>
      </c>
      <c r="D16" s="4">
        <f>Fixtures_by_Clubs!FN55</f>
        <v>0</v>
      </c>
      <c r="E16" s="4">
        <f>Fixtures_by_Clubs!FN56</f>
        <v>0</v>
      </c>
      <c r="F16" s="4">
        <f>Fixtures_by_Clubs!FN57</f>
        <v>0</v>
      </c>
      <c r="G16" s="4">
        <f>Fixtures_by_Clubs!FN58</f>
        <v>0</v>
      </c>
      <c r="H16" s="4">
        <f>Fixtures_by_Clubs!FQ54</f>
        <v>0</v>
      </c>
      <c r="I16" s="4">
        <f>Fixtures_by_Clubs!FQ55</f>
        <v>0</v>
      </c>
      <c r="J16" s="4">
        <f>Fixtures_by_Clubs!FQ56</f>
        <v>0</v>
      </c>
      <c r="K16" s="4">
        <f>Fixtures_by_Clubs!FN54-Deduction!$C$16</f>
        <v>0</v>
      </c>
      <c r="L16" s="2" t="str">
        <f ca="1">IFERROR(Fixtures_by_Clubs!FS58,"")</f>
        <v/>
      </c>
      <c r="M16" s="2" t="str">
        <f ca="1">IFERROR(Fixtures_by_Clubs!FS57,"")</f>
        <v/>
      </c>
      <c r="N16" s="2" t="str">
        <f ca="1">IFERROR(Fixtures_by_Clubs!FS56,"")</f>
        <v/>
      </c>
      <c r="O16" s="2" t="str">
        <f ca="1">IFERROR(Fixtures_by_Clubs!FS55,"")</f>
        <v/>
      </c>
      <c r="P16" s="2" t="str">
        <f ca="1">IFERROR(Fixtures_by_Clubs!FS54,"")</f>
        <v/>
      </c>
      <c r="Q16" s="4" t="str">
        <f ca="1">IFERROR(Fixtures_by_Clubs!FQ58,"BLK")</f>
        <v>Aston Villa</v>
      </c>
      <c r="R16" s="4" t="str">
        <f ca="1">IFERROR(Fixtures_by_Clubs!FQ59,"")</f>
        <v>A</v>
      </c>
      <c r="S16" s="4">
        <f>Fixtures_by_Clubs!FQ53</f>
        <v>0</v>
      </c>
      <c r="T16" s="4">
        <f>Fixtures_by_Clubs!FQ53</f>
        <v>0</v>
      </c>
      <c r="U16" s="3">
        <f t="shared" si="1"/>
        <v>-1.4999999999999999E-7</v>
      </c>
      <c r="V16" s="4">
        <v>15</v>
      </c>
    </row>
    <row r="17" spans="1:24" ht="26.25">
      <c r="A17" s="2">
        <f t="shared" si="0"/>
        <v>16</v>
      </c>
      <c r="B17" s="4" t="s">
        <v>188</v>
      </c>
      <c r="C17" s="352" t="e" vm="36">
        <v>#VALUE!</v>
      </c>
      <c r="D17" s="4">
        <f>Fixtures_by_Clubs!FZ55</f>
        <v>0</v>
      </c>
      <c r="E17" s="4">
        <f>Fixtures_by_Clubs!FZ56</f>
        <v>0</v>
      </c>
      <c r="F17" s="4">
        <f>Fixtures_by_Clubs!FZ57</f>
        <v>0</v>
      </c>
      <c r="G17" s="4">
        <f>Fixtures_by_Clubs!FZ58</f>
        <v>0</v>
      </c>
      <c r="H17" s="4">
        <f>Fixtures_by_Clubs!GC54</f>
        <v>0</v>
      </c>
      <c r="I17" s="4">
        <f>Fixtures_by_Clubs!GC55</f>
        <v>0</v>
      </c>
      <c r="J17" s="4">
        <f>Fixtures_by_Clubs!GC56</f>
        <v>0</v>
      </c>
      <c r="K17" s="4">
        <f>Fixtures_by_Clubs!FZ54-Deduction!$C$17</f>
        <v>0</v>
      </c>
      <c r="L17" s="2" t="str">
        <f ca="1">IFERROR(Fixtures_by_Clubs!GE58,"")</f>
        <v/>
      </c>
      <c r="M17" s="2" t="str">
        <f ca="1">IFERROR(Fixtures_by_Clubs!GE57,"")</f>
        <v/>
      </c>
      <c r="N17" s="2" t="str">
        <f ca="1">IFERROR(Fixtures_by_Clubs!GE56,"")</f>
        <v/>
      </c>
      <c r="O17" s="2" t="str">
        <f ca="1">IFERROR(Fixtures_by_Clubs!GE55,"")</f>
        <v/>
      </c>
      <c r="P17" s="2" t="str">
        <f ca="1">IFERROR(Fixtures_by_Clubs!GE54,"")</f>
        <v/>
      </c>
      <c r="Q17" s="4" t="str">
        <f ca="1">IFERROR(Fixtures_by_Clubs!GC58,"BLK")</f>
        <v>Brentford</v>
      </c>
      <c r="R17" s="4" t="str">
        <f ca="1">IFERROR(Fixtures_by_Clubs!GC59,"")</f>
        <v>H</v>
      </c>
      <c r="S17" s="4">
        <f>Fixtures_by_Clubs!GC53</f>
        <v>0</v>
      </c>
      <c r="T17" s="4">
        <f>Fixtures_by_Clubs!GC53</f>
        <v>0</v>
      </c>
      <c r="U17" s="3">
        <f t="shared" si="1"/>
        <v>-1.6E-7</v>
      </c>
      <c r="V17" s="4">
        <v>16</v>
      </c>
    </row>
    <row r="18" spans="1:24" ht="26.25">
      <c r="A18" s="2">
        <f t="shared" si="0"/>
        <v>17</v>
      </c>
      <c r="B18" s="4" t="s">
        <v>13</v>
      </c>
      <c r="C18" s="352" t="e" vm="37">
        <v>#VALUE!</v>
      </c>
      <c r="D18" s="4">
        <f>Fixtures_by_Clubs!GL55</f>
        <v>0</v>
      </c>
      <c r="E18" s="4">
        <f>Fixtures_by_Clubs!GL56</f>
        <v>0</v>
      </c>
      <c r="F18" s="4">
        <f>Fixtures_by_Clubs!GL57</f>
        <v>0</v>
      </c>
      <c r="G18" s="4">
        <f>Fixtures_by_Clubs!GL58</f>
        <v>0</v>
      </c>
      <c r="H18" s="4">
        <f>Fixtures_by_Clubs!GO54</f>
        <v>0</v>
      </c>
      <c r="I18" s="4">
        <f>Fixtures_by_Clubs!GO55</f>
        <v>0</v>
      </c>
      <c r="J18" s="4">
        <f>Fixtures_by_Clubs!GO56</f>
        <v>0</v>
      </c>
      <c r="K18" s="4">
        <f>Fixtures_by_Clubs!GL54-Deduction!$C$18</f>
        <v>0</v>
      </c>
      <c r="L18" s="2" t="str">
        <f ca="1">IFERROR(Fixtures_by_Clubs!GQ58,"")</f>
        <v/>
      </c>
      <c r="M18" s="2" t="str">
        <f ca="1">IFERROR(Fixtures_by_Clubs!GQ57,"")</f>
        <v/>
      </c>
      <c r="N18" s="2" t="str">
        <f ca="1">IFERROR(Fixtures_by_Clubs!GQ56,"")</f>
        <v/>
      </c>
      <c r="O18" s="2" t="str">
        <f ca="1">IFERROR(Fixtures_by_Clubs!GQ55,"")</f>
        <v/>
      </c>
      <c r="P18" s="2" t="str">
        <f ca="1">IFERROR(Fixtures_by_Clubs!GQ54,"")</f>
        <v/>
      </c>
      <c r="Q18" s="4" t="str">
        <f ca="1">IFERROR(Fixtures_by_Clubs!GO58,"BLK")</f>
        <v>Burnley</v>
      </c>
      <c r="R18" s="4" t="str">
        <f ca="1">IFERROR(Fixtures_by_Clubs!GO59,"")</f>
        <v>H</v>
      </c>
      <c r="S18" s="4">
        <f>Fixtures_by_Clubs!GO53</f>
        <v>0</v>
      </c>
      <c r="T18" s="4">
        <f>Fixtures_by_Clubs!GO53</f>
        <v>0</v>
      </c>
      <c r="U18" s="3">
        <f t="shared" si="1"/>
        <v>-1.6999999999999999E-7</v>
      </c>
      <c r="V18" s="4">
        <v>17</v>
      </c>
      <c r="W18" s="2"/>
      <c r="X18" s="2"/>
    </row>
    <row r="19" spans="1:24" ht="26.25">
      <c r="A19" s="2">
        <f t="shared" si="0"/>
        <v>18</v>
      </c>
      <c r="B19" s="4" t="s">
        <v>443</v>
      </c>
      <c r="C19" s="352" t="e" vm="38">
        <v>#VALUE!</v>
      </c>
      <c r="D19" s="4">
        <f>Fixtures_by_Clubs!GX55</f>
        <v>0</v>
      </c>
      <c r="E19" s="4">
        <f>Fixtures_by_Clubs!GX56</f>
        <v>0</v>
      </c>
      <c r="F19" s="4">
        <f>Fixtures_by_Clubs!GX57</f>
        <v>0</v>
      </c>
      <c r="G19" s="4">
        <f>Fixtures_by_Clubs!GX58</f>
        <v>0</v>
      </c>
      <c r="H19" s="4">
        <f>Fixtures_by_Clubs!HA54</f>
        <v>0</v>
      </c>
      <c r="I19" s="4">
        <f>Fixtures_by_Clubs!HA55</f>
        <v>0</v>
      </c>
      <c r="J19" s="4">
        <f>Fixtures_by_Clubs!HA56</f>
        <v>0</v>
      </c>
      <c r="K19" s="4">
        <f>Fixtures_by_Clubs!GX54-Deduction!$C$19</f>
        <v>0</v>
      </c>
      <c r="L19" s="2" t="str">
        <f ca="1">IFERROR(Fixtures_by_Clubs!HC58,"")</f>
        <v/>
      </c>
      <c r="M19" s="2" t="str">
        <f ca="1">IFERROR(Fixtures_by_Clubs!HC57,"")</f>
        <v/>
      </c>
      <c r="N19" s="2" t="str">
        <f ca="1">IFERROR(Fixtures_by_Clubs!HC56,"")</f>
        <v/>
      </c>
      <c r="O19" s="2" t="str">
        <f ca="1">IFERROR(Fixtures_by_Clubs!HC55,"")</f>
        <v/>
      </c>
      <c r="P19" s="2" t="str">
        <f ca="1">IFERROR(Fixtures_by_Clubs!HC54,"")</f>
        <v/>
      </c>
      <c r="Q19" s="4" t="str">
        <f ca="1">IFERROR(Fixtures_by_Clubs!HA58,"BLK")</f>
        <v>West Ham</v>
      </c>
      <c r="R19" s="4" t="str">
        <f ca="1">IFERROR(Fixtures_by_Clubs!HA59,"")</f>
        <v>H</v>
      </c>
      <c r="S19" s="4">
        <f>Fixtures_by_Clubs!HA53</f>
        <v>0</v>
      </c>
      <c r="T19" s="4">
        <f>Fixtures_by_Clubs!HA53</f>
        <v>0</v>
      </c>
      <c r="U19" s="3">
        <f t="shared" si="1"/>
        <v>-1.8E-7</v>
      </c>
      <c r="V19" s="4">
        <v>18</v>
      </c>
      <c r="W19" s="2"/>
      <c r="X19" s="124"/>
    </row>
    <row r="20" spans="1:24" ht="26.25">
      <c r="A20" s="2">
        <f t="shared" si="0"/>
        <v>19</v>
      </c>
      <c r="B20" s="4" t="s">
        <v>14</v>
      </c>
      <c r="C20" s="352" t="e" vm="39">
        <v>#VALUE!</v>
      </c>
      <c r="D20" s="4">
        <f>Fixtures_by_Clubs!HJ55</f>
        <v>0</v>
      </c>
      <c r="E20" s="4">
        <f>Fixtures_by_Clubs!HJ56</f>
        <v>0</v>
      </c>
      <c r="F20" s="4">
        <f>Fixtures_by_Clubs!HJ57</f>
        <v>0</v>
      </c>
      <c r="G20" s="4">
        <f>Fixtures_by_Clubs!HJ58</f>
        <v>0</v>
      </c>
      <c r="H20" s="4">
        <f>Fixtures_by_Clubs!HM54</f>
        <v>0</v>
      </c>
      <c r="I20" s="4">
        <f>Fixtures_by_Clubs!HM55</f>
        <v>0</v>
      </c>
      <c r="J20" s="4">
        <f>Fixtures_by_Clubs!HM56</f>
        <v>0</v>
      </c>
      <c r="K20" s="4">
        <f>Fixtures_by_Clubs!HJ54-Deduction!$C$20</f>
        <v>0</v>
      </c>
      <c r="L20" s="2" t="str">
        <f ca="1">IFERROR(Fixtures_by_Clubs!HO58,"")</f>
        <v/>
      </c>
      <c r="M20" s="2" t="str">
        <f ca="1">IFERROR(Fixtures_by_Clubs!HO57,"")</f>
        <v/>
      </c>
      <c r="N20" s="2" t="str">
        <f ca="1">IFERROR(Fixtures_by_Clubs!HO56,"")</f>
        <v/>
      </c>
      <c r="O20" s="2" t="str">
        <f ca="1">IFERROR(Fixtures_by_Clubs!HO55,"")</f>
        <v/>
      </c>
      <c r="P20" s="2" t="str">
        <f ca="1">IFERROR(Fixtures_by_Clubs!HO54,"")</f>
        <v/>
      </c>
      <c r="Q20" s="4" t="str">
        <f ca="1">IFERROR(Fixtures_by_Clubs!HM58,"BLK")</f>
        <v>Sunderland</v>
      </c>
      <c r="R20" s="4" t="str">
        <f ca="1">IFERROR(Fixtures_by_Clubs!HM59,"")</f>
        <v>A</v>
      </c>
      <c r="S20" s="4">
        <f>Fixtures_by_Clubs!HM53</f>
        <v>0</v>
      </c>
      <c r="T20" s="4">
        <f>Fixtures_by_Clubs!HM53</f>
        <v>0</v>
      </c>
      <c r="U20" s="3">
        <f t="shared" si="1"/>
        <v>-1.9000000000000001E-7</v>
      </c>
      <c r="V20" s="4">
        <v>19</v>
      </c>
      <c r="W20" s="2"/>
      <c r="X20" s="124"/>
    </row>
    <row r="21" spans="1:24" ht="26.25">
      <c r="A21" s="2">
        <f t="shared" si="0"/>
        <v>20</v>
      </c>
      <c r="B21" s="4" t="s">
        <v>15</v>
      </c>
      <c r="C21" s="352" t="e" vm="40">
        <v>#VALUE!</v>
      </c>
      <c r="D21" s="4">
        <f>Fixtures_by_Clubs!HV55</f>
        <v>0</v>
      </c>
      <c r="E21" s="4">
        <f>Fixtures_by_Clubs!HV56</f>
        <v>0</v>
      </c>
      <c r="F21" s="4">
        <f>Fixtures_by_Clubs!HV57</f>
        <v>0</v>
      </c>
      <c r="G21" s="4">
        <f>Fixtures_by_Clubs!HV58</f>
        <v>0</v>
      </c>
      <c r="H21" s="4">
        <f>Fixtures_by_Clubs!HY54</f>
        <v>0</v>
      </c>
      <c r="I21" s="4">
        <f>Fixtures_by_Clubs!HY55</f>
        <v>0</v>
      </c>
      <c r="J21" s="4">
        <f>Fixtures_by_Clubs!HY56</f>
        <v>0</v>
      </c>
      <c r="K21" s="4">
        <f>Fixtures_by_Clubs!HV54-Deduction!$C$21</f>
        <v>0</v>
      </c>
      <c r="L21" s="2" t="str">
        <f ca="1">IFERROR(Fixtures_by_Clubs!IA58,"")</f>
        <v/>
      </c>
      <c r="M21" s="2" t="str">
        <f ca="1">IFERROR(Fixtures_by_Clubs!IA57,"")</f>
        <v/>
      </c>
      <c r="N21" s="2" t="str">
        <f ca="1">IFERROR(Fixtures_by_Clubs!IA56,"")</f>
        <v/>
      </c>
      <c r="O21" s="2" t="str">
        <f ca="1">IFERROR(Fixtures_by_Clubs!IA55,"")</f>
        <v/>
      </c>
      <c r="P21" s="2" t="str">
        <f ca="1">IFERROR(Fixtures_by_Clubs!IA54,"")</f>
        <v/>
      </c>
      <c r="Q21" s="4" t="str">
        <f ca="1">IFERROR(Fixtures_by_Clubs!HY58,"BLK")</f>
        <v>Man City</v>
      </c>
      <c r="R21" s="4" t="str">
        <f ca="1">IFERROR(Fixtures_by_Clubs!HY59,"")</f>
        <v>H</v>
      </c>
      <c r="S21" s="4">
        <f>Fixtures_by_Clubs!HY53</f>
        <v>0</v>
      </c>
      <c r="T21" s="4">
        <f>Fixtures_by_Clubs!HY53</f>
        <v>0</v>
      </c>
      <c r="U21" s="3">
        <f t="shared" si="1"/>
        <v>-1.9999999999999999E-7</v>
      </c>
      <c r="V21" s="4">
        <v>20</v>
      </c>
      <c r="W21" s="2"/>
      <c r="X21" s="124"/>
    </row>
    <row r="22" spans="1:24" ht="26.25">
      <c r="B22" s="4" t="s">
        <v>182</v>
      </c>
      <c r="V22" s="4"/>
    </row>
    <row r="23" spans="1:24" ht="26.25">
      <c r="V23" s="4"/>
    </row>
    <row r="24" spans="1:24" ht="26.25">
      <c r="V24" s="4"/>
    </row>
    <row r="25" spans="1:24" ht="26.25">
      <c r="V25" s="4"/>
    </row>
    <row r="30" spans="1:24" ht="15.75">
      <c r="B30" s="116"/>
      <c r="C30" s="354"/>
      <c r="E30" s="129"/>
    </row>
    <row r="31" spans="1:24">
      <c r="S31" t="s">
        <v>106</v>
      </c>
    </row>
  </sheetData>
  <mergeCells count="3">
    <mergeCell ref="B1:C1"/>
    <mergeCell ref="L1:P1"/>
    <mergeCell ref="Q1:S1"/>
  </mergeCells>
  <conditionalFormatting sqref="L2:P21">
    <cfRule type="expression" dxfId="30" priority="1">
      <formula>L2="L"</formula>
    </cfRule>
    <cfRule type="expression" dxfId="29" priority="2">
      <formula>L2="W"</formula>
    </cfRule>
    <cfRule type="expression" dxfId="28" priority="3">
      <formula>L2="D"</formula>
    </cfRule>
  </conditionalFormatting>
  <dataValidations disablePrompts="1" count="1">
    <dataValidation type="list" showInputMessage="1" showErrorMessage="1" error="Please select a team" prompt="Select a Club" sqref="X19:X21" xr:uid="{00000000-0002-0000-0200-000000000000}">
      <formula1>$B$2:$B$21</formula1>
    </dataValidation>
  </dataValidation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E24"/>
  <sheetViews>
    <sheetView showGridLines="0" zoomScale="115" zoomScaleNormal="115" workbookViewId="0"/>
  </sheetViews>
  <sheetFormatPr defaultRowHeight="15"/>
  <cols>
    <col min="2" max="2" width="35.42578125" bestFit="1" customWidth="1"/>
    <col min="3" max="3" width="56.140625" bestFit="1" customWidth="1"/>
  </cols>
  <sheetData>
    <row r="1" spans="1:5" ht="27" thickBot="1">
      <c r="A1" s="182"/>
      <c r="B1" s="183" t="s">
        <v>558</v>
      </c>
      <c r="C1" s="184" t="s">
        <v>155</v>
      </c>
    </row>
    <row r="2" spans="1:5" ht="26.25">
      <c r="A2" s="376"/>
      <c r="B2" s="377" t="s">
        <v>1</v>
      </c>
      <c r="C2" s="185">
        <v>0</v>
      </c>
    </row>
    <row r="3" spans="1:5" ht="26.25">
      <c r="A3" s="376"/>
      <c r="B3" s="377" t="s">
        <v>2</v>
      </c>
      <c r="C3" s="185">
        <v>0</v>
      </c>
    </row>
    <row r="4" spans="1:5" ht="26.25">
      <c r="A4" s="376"/>
      <c r="B4" s="377" t="s">
        <v>3</v>
      </c>
      <c r="C4" s="185">
        <v>0</v>
      </c>
    </row>
    <row r="5" spans="1:5" ht="26.25">
      <c r="A5" s="376"/>
      <c r="B5" s="377" t="s">
        <v>107</v>
      </c>
      <c r="C5" s="185">
        <v>0</v>
      </c>
    </row>
    <row r="6" spans="1:5" ht="26.25">
      <c r="A6" s="376"/>
      <c r="B6" s="377" t="s">
        <v>4</v>
      </c>
      <c r="C6" s="185">
        <v>0</v>
      </c>
    </row>
    <row r="7" spans="1:5" ht="26.25">
      <c r="A7" s="376"/>
      <c r="B7" s="377" t="s">
        <v>5</v>
      </c>
      <c r="C7" s="185">
        <v>0</v>
      </c>
    </row>
    <row r="8" spans="1:5" ht="26.25">
      <c r="A8" s="376"/>
      <c r="B8" s="377" t="s">
        <v>6</v>
      </c>
      <c r="C8" s="185">
        <v>0</v>
      </c>
    </row>
    <row r="9" spans="1:5" ht="26.25">
      <c r="A9" s="376"/>
      <c r="B9" s="377" t="s">
        <v>7</v>
      </c>
      <c r="C9" s="185">
        <v>0</v>
      </c>
    </row>
    <row r="10" spans="1:5" ht="26.25">
      <c r="A10" s="376"/>
      <c r="B10" s="377" t="s">
        <v>8</v>
      </c>
      <c r="C10" s="185">
        <v>0</v>
      </c>
    </row>
    <row r="11" spans="1:5" ht="26.25">
      <c r="A11" s="376"/>
      <c r="B11" s="377" t="s">
        <v>108</v>
      </c>
      <c r="C11" s="185">
        <v>0</v>
      </c>
    </row>
    <row r="12" spans="1:5" ht="26.25">
      <c r="A12" s="376"/>
      <c r="B12" s="377" t="s">
        <v>444</v>
      </c>
      <c r="C12" s="185">
        <v>0</v>
      </c>
    </row>
    <row r="13" spans="1:5" ht="26.25">
      <c r="A13" s="376"/>
      <c r="B13" s="377" t="s">
        <v>9</v>
      </c>
      <c r="C13" s="185">
        <v>0</v>
      </c>
    </row>
    <row r="14" spans="1:5" ht="26.25">
      <c r="A14" s="376"/>
      <c r="B14" s="377" t="s">
        <v>10</v>
      </c>
      <c r="C14" s="185">
        <v>0</v>
      </c>
      <c r="E14" s="111"/>
    </row>
    <row r="15" spans="1:5" ht="26.25">
      <c r="A15" s="376"/>
      <c r="B15" s="377" t="s">
        <v>11</v>
      </c>
      <c r="C15" s="185">
        <v>0</v>
      </c>
      <c r="E15" s="111"/>
    </row>
    <row r="16" spans="1:5" ht="26.25">
      <c r="A16" s="376"/>
      <c r="B16" s="377" t="s">
        <v>12</v>
      </c>
      <c r="C16" s="185">
        <v>0</v>
      </c>
    </row>
    <row r="17" spans="1:3" ht="26.25">
      <c r="A17" s="376"/>
      <c r="B17" s="377" t="s">
        <v>188</v>
      </c>
      <c r="C17" s="185">
        <v>0</v>
      </c>
    </row>
    <row r="18" spans="1:3" ht="26.25">
      <c r="A18" s="376"/>
      <c r="B18" s="377" t="s">
        <v>13</v>
      </c>
      <c r="C18" s="185">
        <v>0</v>
      </c>
    </row>
    <row r="19" spans="1:3" ht="26.25">
      <c r="A19" s="376"/>
      <c r="B19" s="377" t="s">
        <v>443</v>
      </c>
      <c r="C19" s="185">
        <v>0</v>
      </c>
    </row>
    <row r="20" spans="1:3" ht="26.25">
      <c r="A20" s="376"/>
      <c r="B20" s="377" t="s">
        <v>14</v>
      </c>
      <c r="C20" s="185">
        <v>0</v>
      </c>
    </row>
    <row r="21" spans="1:3" ht="27" thickBot="1">
      <c r="A21" s="378"/>
      <c r="B21" s="379" t="s">
        <v>15</v>
      </c>
      <c r="C21" s="186">
        <v>0</v>
      </c>
    </row>
    <row r="24" spans="1:3">
      <c r="A24" s="63" t="s">
        <v>442</v>
      </c>
    </row>
  </sheetData>
  <sheetProtection algorithmName="SHA-512" hashValue="jdAq0Nnt7FZ1QFsVvYjZaMlVTFOlyXDOckZnNbOvt4YqlnPlahQgdr9Dbwxm2XjEgdMQ64SmXxQE285Nz64P/A==" saltValue="WNCVXFm+Fyi8jno59zxq4A==" spinCount="100000" sheet="1" objects="1" scenarios="1"/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7"/>
  <dimension ref="A1:AL386"/>
  <sheetViews>
    <sheetView showGridLines="0" zoomScale="85" zoomScaleNormal="85" workbookViewId="0">
      <selection activeCell="A2" sqref="A2"/>
    </sheetView>
  </sheetViews>
  <sheetFormatPr defaultRowHeight="21" customHeight="1"/>
  <cols>
    <col min="1" max="1" width="12.28515625" style="169" customWidth="1"/>
    <col min="2" max="2" width="34.28515625" style="170" customWidth="1"/>
    <col min="3" max="3" width="21.85546875" style="328" bestFit="1" customWidth="1"/>
    <col min="4" max="4" width="19.7109375" style="329" bestFit="1" customWidth="1"/>
    <col min="5" max="5" width="20.5703125" style="329" bestFit="1" customWidth="1"/>
    <col min="6" max="6" width="18.28515625" style="329" bestFit="1" customWidth="1"/>
    <col min="7" max="7" width="21.140625" style="329" bestFit="1" customWidth="1"/>
    <col min="8" max="8" width="28.85546875" style="32" bestFit="1" customWidth="1"/>
    <col min="9" max="9" width="26.42578125" style="32" bestFit="1" customWidth="1"/>
    <col min="10" max="10" width="13.5703125" style="59" bestFit="1" customWidth="1"/>
    <col min="11" max="11" width="12.5703125" style="32" customWidth="1"/>
    <col min="12" max="12" width="12.28515625" style="32" customWidth="1"/>
    <col min="13" max="13" width="13.5703125" style="60" bestFit="1" customWidth="1"/>
    <col min="14" max="16" width="11.140625" style="461" customWidth="1"/>
    <col min="17" max="17" width="20.140625" style="60" bestFit="1" customWidth="1"/>
    <col min="18" max="18" width="19.7109375" style="60" bestFit="1" customWidth="1"/>
    <col min="19" max="19" width="18.42578125" customWidth="1"/>
    <col min="20" max="20" width="18.42578125" style="44" customWidth="1"/>
    <col min="21" max="21" width="12.28515625" style="44" customWidth="1"/>
    <col min="22" max="22" width="21.42578125" style="47" hidden="1" customWidth="1"/>
    <col min="23" max="23" width="21.42578125" style="33" hidden="1" customWidth="1"/>
    <col min="24" max="24" width="25" style="33" hidden="1" customWidth="1"/>
    <col min="25" max="25" width="14.85546875" bestFit="1" customWidth="1"/>
    <col min="26" max="28" width="9.140625" customWidth="1"/>
    <col min="29" max="29" width="13.42578125" bestFit="1" customWidth="1"/>
    <col min="30" max="30" width="13.85546875" bestFit="1" customWidth="1"/>
    <col min="31" max="31" width="12.7109375" bestFit="1" customWidth="1"/>
    <col min="32" max="32" width="13.42578125" customWidth="1"/>
    <col min="33" max="33" width="6.7109375" bestFit="1" customWidth="1"/>
    <col min="34" max="34" width="6.85546875" bestFit="1" customWidth="1"/>
    <col min="35" max="35" width="15.140625" bestFit="1" customWidth="1"/>
    <col min="36" max="36" width="14.42578125" style="33" bestFit="1" customWidth="1"/>
    <col min="37" max="37" width="11.7109375" style="33" bestFit="1" customWidth="1"/>
    <col min="38" max="38" width="12.28515625" style="33" bestFit="1" customWidth="1"/>
    <col min="39" max="16384" width="9.140625" style="33"/>
  </cols>
  <sheetData>
    <row r="1" spans="1:38" s="285" customFormat="1" ht="45.75" customHeight="1" thickBot="1">
      <c r="A1" s="365" t="s">
        <v>91</v>
      </c>
      <c r="B1" s="366" t="s">
        <v>203</v>
      </c>
      <c r="C1" s="367" t="s">
        <v>189</v>
      </c>
      <c r="D1" s="333" t="s">
        <v>190</v>
      </c>
      <c r="E1" s="333" t="s">
        <v>191</v>
      </c>
      <c r="F1" s="333" t="s">
        <v>192</v>
      </c>
      <c r="G1" s="368" t="s">
        <v>193</v>
      </c>
      <c r="H1" s="369" t="s">
        <v>26</v>
      </c>
      <c r="I1" s="370" t="s">
        <v>27</v>
      </c>
      <c r="J1" s="371" t="s">
        <v>28</v>
      </c>
      <c r="K1" s="372" t="s">
        <v>29</v>
      </c>
      <c r="L1" s="372" t="s">
        <v>30</v>
      </c>
      <c r="M1" s="373" t="s">
        <v>31</v>
      </c>
      <c r="N1" s="454" t="s">
        <v>37</v>
      </c>
      <c r="O1" s="455" t="s">
        <v>38</v>
      </c>
      <c r="P1" s="455" t="s">
        <v>39</v>
      </c>
      <c r="Q1" s="374" t="s">
        <v>35</v>
      </c>
      <c r="R1" s="375" t="s">
        <v>36</v>
      </c>
      <c r="S1" s="287" t="s">
        <v>32</v>
      </c>
      <c r="T1" s="288" t="s">
        <v>33</v>
      </c>
      <c r="U1" s="288" t="s">
        <v>34</v>
      </c>
      <c r="V1" s="134" t="s">
        <v>204</v>
      </c>
      <c r="W1" s="283" t="s">
        <v>205</v>
      </c>
      <c r="X1" s="284" t="s">
        <v>206</v>
      </c>
      <c r="AJ1" s="286"/>
      <c r="AK1" s="286"/>
      <c r="AL1" s="286"/>
    </row>
    <row r="2" spans="1:38" ht="21" customHeight="1" thickBot="1">
      <c r="A2" s="289">
        <v>1</v>
      </c>
      <c r="B2" s="171">
        <v>45884</v>
      </c>
      <c r="C2" s="330">
        <v>45884.625</v>
      </c>
      <c r="D2" s="334">
        <v>45884.833333333336</v>
      </c>
      <c r="E2" s="334">
        <v>45884.916666666664</v>
      </c>
      <c r="F2" s="334">
        <v>45884.958333333336</v>
      </c>
      <c r="G2" s="325">
        <v>45885.125</v>
      </c>
      <c r="H2" s="177" t="s">
        <v>245</v>
      </c>
      <c r="I2" s="174" t="s">
        <v>40</v>
      </c>
      <c r="J2" s="187" t="s">
        <v>9</v>
      </c>
      <c r="K2" s="472"/>
      <c r="L2" s="472"/>
      <c r="M2" s="192" t="s">
        <v>3</v>
      </c>
      <c r="N2" s="456">
        <v>0.69540000000000002</v>
      </c>
      <c r="O2" s="457">
        <v>0.16750000000000001</v>
      </c>
      <c r="P2" s="457">
        <v>0.1371</v>
      </c>
      <c r="Q2" s="39">
        <v>2.5445000000000002</v>
      </c>
      <c r="R2" s="40">
        <v>1.0578000000000001</v>
      </c>
      <c r="S2" s="36">
        <v>45865.70045138889</v>
      </c>
      <c r="T2" s="37" t="s">
        <v>41</v>
      </c>
      <c r="U2" s="38" t="s">
        <v>445</v>
      </c>
      <c r="V2" s="56">
        <f t="shared" ref="V2:V65" si="0">IF(C2&lt;&gt;"TBC",C2-1/24,"TBC")</f>
        <v>45884.583333333336</v>
      </c>
      <c r="W2" s="57">
        <f t="shared" ref="W2:W65" si="1">IF(C2&lt;&gt;"TBC",C2-1/12,"TBC")</f>
        <v>45884.541666666664</v>
      </c>
      <c r="X2" s="58">
        <f t="shared" ref="X2:X65" si="2">IF(C2&lt;&gt;"TBC",C2-1/8,"TBC")</f>
        <v>45884.5</v>
      </c>
    </row>
    <row r="3" spans="1:38" ht="21" customHeight="1" thickBot="1">
      <c r="A3" s="290">
        <v>1</v>
      </c>
      <c r="B3" s="172">
        <v>45885</v>
      </c>
      <c r="C3" s="331">
        <v>45885.3125</v>
      </c>
      <c r="D3" s="335">
        <v>45885.520833333336</v>
      </c>
      <c r="E3" s="335">
        <v>45885.604166666664</v>
      </c>
      <c r="F3" s="335">
        <v>45885.645833333336</v>
      </c>
      <c r="G3" s="326">
        <v>45885.8125</v>
      </c>
      <c r="H3" s="178" t="s">
        <v>400</v>
      </c>
      <c r="I3" s="175" t="s">
        <v>49</v>
      </c>
      <c r="J3" s="188" t="s">
        <v>2</v>
      </c>
      <c r="K3" s="473"/>
      <c r="L3" s="473"/>
      <c r="M3" s="193" t="s">
        <v>12</v>
      </c>
      <c r="N3" s="458">
        <v>0.38669999999999999</v>
      </c>
      <c r="O3" s="470">
        <v>0.26429999999999998</v>
      </c>
      <c r="P3" s="470">
        <v>0.34899999999999998</v>
      </c>
      <c r="Q3" s="45">
        <v>1.3349</v>
      </c>
      <c r="R3" s="46">
        <v>1.2543</v>
      </c>
      <c r="S3" s="41">
        <v>45865.70045138889</v>
      </c>
      <c r="T3" s="42" t="s">
        <v>41</v>
      </c>
      <c r="U3" s="43" t="s">
        <v>445</v>
      </c>
      <c r="V3" s="34">
        <f t="shared" si="0"/>
        <v>45885.270833333336</v>
      </c>
      <c r="W3" s="471">
        <f t="shared" si="1"/>
        <v>45885.229166666664</v>
      </c>
      <c r="X3" s="35">
        <f t="shared" si="2"/>
        <v>45885.1875</v>
      </c>
    </row>
    <row r="4" spans="1:38" ht="21" customHeight="1" thickBot="1">
      <c r="A4" s="290">
        <v>1</v>
      </c>
      <c r="B4" s="172">
        <v>45885</v>
      </c>
      <c r="C4" s="331">
        <v>45885.416666666664</v>
      </c>
      <c r="D4" s="335">
        <v>45885.625</v>
      </c>
      <c r="E4" s="335">
        <v>45885.708333333336</v>
      </c>
      <c r="F4" s="335">
        <v>45885.75</v>
      </c>
      <c r="G4" s="326">
        <v>45885.916666666664</v>
      </c>
      <c r="H4" s="178" t="s">
        <v>374</v>
      </c>
      <c r="I4" s="175" t="s">
        <v>217</v>
      </c>
      <c r="J4" s="188" t="s">
        <v>4</v>
      </c>
      <c r="K4" s="473"/>
      <c r="L4" s="473"/>
      <c r="M4" s="193" t="s">
        <v>108</v>
      </c>
      <c r="N4" s="458">
        <v>0.50570000000000004</v>
      </c>
      <c r="O4" s="470">
        <v>0.25590000000000002</v>
      </c>
      <c r="P4" s="470">
        <v>0.23830000000000001</v>
      </c>
      <c r="Q4" s="45">
        <v>1.5432999999999999</v>
      </c>
      <c r="R4" s="46">
        <v>0.97270000000000001</v>
      </c>
      <c r="S4" s="41">
        <v>45865.70045138889</v>
      </c>
      <c r="T4" s="42" t="s">
        <v>41</v>
      </c>
      <c r="U4" s="43" t="s">
        <v>445</v>
      </c>
      <c r="V4" s="34">
        <f t="shared" si="0"/>
        <v>45885.375</v>
      </c>
      <c r="W4" s="471">
        <f t="shared" si="1"/>
        <v>45885.333333333328</v>
      </c>
      <c r="X4" s="35">
        <f t="shared" si="2"/>
        <v>45885.291666666664</v>
      </c>
    </row>
    <row r="5" spans="1:38" ht="21" customHeight="1" thickBot="1">
      <c r="A5" s="290">
        <v>1</v>
      </c>
      <c r="B5" s="172">
        <v>45885</v>
      </c>
      <c r="C5" s="331">
        <v>45885.416666666664</v>
      </c>
      <c r="D5" s="335">
        <v>45885.625</v>
      </c>
      <c r="E5" s="335">
        <v>45885.708333333336</v>
      </c>
      <c r="F5" s="335">
        <v>45885.75</v>
      </c>
      <c r="G5" s="326">
        <v>45885.916666666664</v>
      </c>
      <c r="H5" s="178" t="s">
        <v>446</v>
      </c>
      <c r="I5" s="175" t="s">
        <v>45</v>
      </c>
      <c r="J5" s="188" t="s">
        <v>13</v>
      </c>
      <c r="K5" s="473"/>
      <c r="L5" s="473"/>
      <c r="M5" s="193" t="s">
        <v>5</v>
      </c>
      <c r="N5" s="458">
        <v>0.7087</v>
      </c>
      <c r="O5" s="470">
        <v>0.17899999999999999</v>
      </c>
      <c r="P5" s="470">
        <v>0.1123</v>
      </c>
      <c r="Q5" s="45">
        <v>2.2322000000000002</v>
      </c>
      <c r="R5" s="46">
        <v>0.76</v>
      </c>
      <c r="S5" s="41">
        <v>45865.70045138889</v>
      </c>
      <c r="T5" s="42" t="s">
        <v>41</v>
      </c>
      <c r="U5" s="43" t="s">
        <v>445</v>
      </c>
      <c r="V5" s="34">
        <f t="shared" si="0"/>
        <v>45885.375</v>
      </c>
      <c r="W5" s="471">
        <f t="shared" si="1"/>
        <v>45885.333333333328</v>
      </c>
      <c r="X5" s="35">
        <f t="shared" si="2"/>
        <v>45885.291666666664</v>
      </c>
    </row>
    <row r="6" spans="1:38" ht="21" customHeight="1" thickBot="1">
      <c r="A6" s="290">
        <v>1</v>
      </c>
      <c r="B6" s="172">
        <v>45885</v>
      </c>
      <c r="C6" s="331">
        <v>45885.416666666664</v>
      </c>
      <c r="D6" s="335">
        <v>45885.625</v>
      </c>
      <c r="E6" s="335">
        <v>45885.708333333336</v>
      </c>
      <c r="F6" s="335">
        <v>45885.75</v>
      </c>
      <c r="G6" s="326">
        <v>45885.916666666664</v>
      </c>
      <c r="H6" s="178" t="s">
        <v>447</v>
      </c>
      <c r="I6" s="175" t="s">
        <v>448</v>
      </c>
      <c r="J6" s="188" t="s">
        <v>443</v>
      </c>
      <c r="K6" s="473"/>
      <c r="L6" s="473"/>
      <c r="M6" s="193" t="s">
        <v>14</v>
      </c>
      <c r="N6" s="458">
        <v>0.2959</v>
      </c>
      <c r="O6" s="470">
        <v>0.27629999999999999</v>
      </c>
      <c r="P6" s="470">
        <v>0.42780000000000001</v>
      </c>
      <c r="Q6" s="45">
        <v>1.0432999999999999</v>
      </c>
      <c r="R6" s="46">
        <v>1.3142</v>
      </c>
      <c r="S6" s="41">
        <v>45865.70045138889</v>
      </c>
      <c r="T6" s="42" t="s">
        <v>41</v>
      </c>
      <c r="U6" s="43" t="s">
        <v>445</v>
      </c>
      <c r="V6" s="34">
        <f t="shared" si="0"/>
        <v>45885.375</v>
      </c>
      <c r="W6" s="471">
        <f t="shared" si="1"/>
        <v>45885.333333333328</v>
      </c>
      <c r="X6" s="35">
        <f t="shared" si="2"/>
        <v>45885.291666666664</v>
      </c>
    </row>
    <row r="7" spans="1:38" ht="21" customHeight="1" thickBot="1">
      <c r="A7" s="290">
        <v>1</v>
      </c>
      <c r="B7" s="172">
        <v>45885</v>
      </c>
      <c r="C7" s="331">
        <v>45885.520833333336</v>
      </c>
      <c r="D7" s="335">
        <v>45885.729166666664</v>
      </c>
      <c r="E7" s="335">
        <v>45885.8125</v>
      </c>
      <c r="F7" s="335">
        <v>45885.854166666664</v>
      </c>
      <c r="G7" s="326">
        <v>45886.020833333336</v>
      </c>
      <c r="H7" s="178" t="s">
        <v>266</v>
      </c>
      <c r="I7" s="175" t="s">
        <v>52</v>
      </c>
      <c r="J7" s="188" t="s">
        <v>15</v>
      </c>
      <c r="K7" s="473"/>
      <c r="L7" s="473"/>
      <c r="M7" s="193" t="s">
        <v>10</v>
      </c>
      <c r="N7" s="458">
        <v>0.1724</v>
      </c>
      <c r="O7" s="470">
        <v>0.2092</v>
      </c>
      <c r="P7" s="470">
        <v>0.61829999999999996</v>
      </c>
      <c r="Q7" s="45">
        <v>0.95960000000000001</v>
      </c>
      <c r="R7" s="46">
        <v>2.0139999999999998</v>
      </c>
      <c r="S7" s="41">
        <v>45865.70045138889</v>
      </c>
      <c r="T7" s="42" t="s">
        <v>41</v>
      </c>
      <c r="U7" s="43" t="s">
        <v>445</v>
      </c>
      <c r="V7" s="34">
        <f t="shared" si="0"/>
        <v>45885.479166666672</v>
      </c>
      <c r="W7" s="471">
        <f t="shared" si="1"/>
        <v>45885.4375</v>
      </c>
      <c r="X7" s="35">
        <f t="shared" si="2"/>
        <v>45885.395833333336</v>
      </c>
    </row>
    <row r="8" spans="1:38" ht="21" customHeight="1" thickBot="1">
      <c r="A8" s="290">
        <v>1</v>
      </c>
      <c r="B8" s="172">
        <v>45886</v>
      </c>
      <c r="C8" s="331">
        <v>45886.375</v>
      </c>
      <c r="D8" s="335">
        <v>45886.583333333336</v>
      </c>
      <c r="E8" s="335">
        <v>45886.666666666664</v>
      </c>
      <c r="F8" s="335">
        <v>45886.708333333336</v>
      </c>
      <c r="G8" s="326">
        <v>45886.875</v>
      </c>
      <c r="H8" s="178" t="s">
        <v>112</v>
      </c>
      <c r="I8" s="175" t="s">
        <v>51</v>
      </c>
      <c r="J8" s="188" t="s">
        <v>6</v>
      </c>
      <c r="K8" s="473"/>
      <c r="L8" s="473"/>
      <c r="M8" s="193" t="s">
        <v>7</v>
      </c>
      <c r="N8" s="458">
        <v>0.6139</v>
      </c>
      <c r="O8" s="470">
        <v>0.215</v>
      </c>
      <c r="P8" s="470">
        <v>0.1711</v>
      </c>
      <c r="Q8" s="45">
        <v>1.9403999999999999</v>
      </c>
      <c r="R8" s="46">
        <v>0.9133</v>
      </c>
      <c r="S8" s="41">
        <v>45865.70045138889</v>
      </c>
      <c r="T8" s="42" t="s">
        <v>41</v>
      </c>
      <c r="U8" s="43" t="s">
        <v>445</v>
      </c>
      <c r="V8" s="34">
        <f t="shared" si="0"/>
        <v>45886.333333333336</v>
      </c>
      <c r="W8" s="471">
        <f t="shared" si="1"/>
        <v>45886.291666666664</v>
      </c>
      <c r="X8" s="35">
        <f t="shared" si="2"/>
        <v>45886.25</v>
      </c>
    </row>
    <row r="9" spans="1:38" ht="21" customHeight="1" thickBot="1">
      <c r="A9" s="290">
        <v>1</v>
      </c>
      <c r="B9" s="172">
        <v>45886</v>
      </c>
      <c r="C9" s="331">
        <v>45886.375</v>
      </c>
      <c r="D9" s="335">
        <v>45886.583333333336</v>
      </c>
      <c r="E9" s="335">
        <v>45886.666666666664</v>
      </c>
      <c r="F9" s="335">
        <v>45886.708333333336</v>
      </c>
      <c r="G9" s="326">
        <v>45886.875</v>
      </c>
      <c r="H9" s="178" t="s">
        <v>410</v>
      </c>
      <c r="I9" s="175" t="s">
        <v>158</v>
      </c>
      <c r="J9" s="188" t="s">
        <v>188</v>
      </c>
      <c r="K9" s="473"/>
      <c r="L9" s="473"/>
      <c r="M9" s="193" t="s">
        <v>107</v>
      </c>
      <c r="N9" s="458">
        <v>0.43359999999999999</v>
      </c>
      <c r="O9" s="470">
        <v>0.26479999999999998</v>
      </c>
      <c r="P9" s="470">
        <v>0.30159999999999998</v>
      </c>
      <c r="Q9" s="45">
        <v>1.4066000000000001</v>
      </c>
      <c r="R9" s="46">
        <v>1.1272</v>
      </c>
      <c r="S9" s="41">
        <v>45865.70045138889</v>
      </c>
      <c r="T9" s="42" t="s">
        <v>41</v>
      </c>
      <c r="U9" s="43" t="s">
        <v>445</v>
      </c>
      <c r="V9" s="34">
        <f t="shared" si="0"/>
        <v>45886.333333333336</v>
      </c>
      <c r="W9" s="471">
        <f t="shared" si="1"/>
        <v>45886.291666666664</v>
      </c>
      <c r="X9" s="35">
        <f t="shared" si="2"/>
        <v>45886.25</v>
      </c>
    </row>
    <row r="10" spans="1:38" ht="21" customHeight="1" thickBot="1">
      <c r="A10" s="290">
        <v>1</v>
      </c>
      <c r="B10" s="172">
        <v>45886</v>
      </c>
      <c r="C10" s="331">
        <v>45886.479166666664</v>
      </c>
      <c r="D10" s="335">
        <v>45886.6875</v>
      </c>
      <c r="E10" s="335">
        <v>45886.770833333336</v>
      </c>
      <c r="F10" s="335">
        <v>45886.8125</v>
      </c>
      <c r="G10" s="326">
        <v>45886.979166666664</v>
      </c>
      <c r="H10" s="178" t="s">
        <v>375</v>
      </c>
      <c r="I10" s="175" t="s">
        <v>47</v>
      </c>
      <c r="J10" s="188" t="s">
        <v>11</v>
      </c>
      <c r="K10" s="473"/>
      <c r="L10" s="473"/>
      <c r="M10" s="193" t="s">
        <v>1</v>
      </c>
      <c r="N10" s="458">
        <v>0.2954</v>
      </c>
      <c r="O10" s="470">
        <v>0.27210000000000001</v>
      </c>
      <c r="P10" s="470">
        <v>0.4325</v>
      </c>
      <c r="Q10" s="45">
        <v>1.0658000000000001</v>
      </c>
      <c r="R10" s="46">
        <v>1.3502000000000001</v>
      </c>
      <c r="S10" s="41">
        <v>45865.70045138889</v>
      </c>
      <c r="T10" s="42" t="s">
        <v>41</v>
      </c>
      <c r="U10" s="43" t="s">
        <v>445</v>
      </c>
      <c r="V10" s="34">
        <f t="shared" si="0"/>
        <v>45886.4375</v>
      </c>
      <c r="W10" s="471">
        <f t="shared" si="1"/>
        <v>45886.395833333328</v>
      </c>
      <c r="X10" s="35">
        <f t="shared" si="2"/>
        <v>45886.354166666664</v>
      </c>
    </row>
    <row r="11" spans="1:38" ht="21" customHeight="1" thickBot="1">
      <c r="A11" s="290">
        <v>1</v>
      </c>
      <c r="B11" s="172">
        <v>45887</v>
      </c>
      <c r="C11" s="331">
        <v>45887.625</v>
      </c>
      <c r="D11" s="335">
        <v>45887.833333333336</v>
      </c>
      <c r="E11" s="335">
        <v>45887.916666666664</v>
      </c>
      <c r="F11" s="335">
        <v>45887.958333333336</v>
      </c>
      <c r="G11" s="326">
        <v>45888.125</v>
      </c>
      <c r="H11" s="178" t="s">
        <v>514</v>
      </c>
      <c r="I11" s="175" t="s">
        <v>449</v>
      </c>
      <c r="J11" s="188" t="s">
        <v>444</v>
      </c>
      <c r="K11" s="473"/>
      <c r="L11" s="473"/>
      <c r="M11" s="193" t="s">
        <v>8</v>
      </c>
      <c r="N11" s="458">
        <v>0.35659999999999997</v>
      </c>
      <c r="O11" s="470">
        <v>0.28689999999999999</v>
      </c>
      <c r="P11" s="470">
        <v>0.35659999999999997</v>
      </c>
      <c r="Q11" s="45">
        <v>1.1286</v>
      </c>
      <c r="R11" s="46">
        <v>1.1286</v>
      </c>
      <c r="S11" s="41">
        <v>45865.70045138889</v>
      </c>
      <c r="T11" s="42" t="s">
        <v>41</v>
      </c>
      <c r="U11" s="43" t="s">
        <v>445</v>
      </c>
      <c r="V11" s="34">
        <f t="shared" si="0"/>
        <v>45887.583333333336</v>
      </c>
      <c r="W11" s="471">
        <f t="shared" si="1"/>
        <v>45887.541666666664</v>
      </c>
      <c r="X11" s="35">
        <f t="shared" si="2"/>
        <v>45887.5</v>
      </c>
    </row>
    <row r="12" spans="1:38" ht="21" customHeight="1" thickBot="1">
      <c r="A12" s="289">
        <v>2</v>
      </c>
      <c r="B12" s="171">
        <v>45891</v>
      </c>
      <c r="C12" s="330">
        <v>45891.625</v>
      </c>
      <c r="D12" s="334">
        <v>45891.833333333336</v>
      </c>
      <c r="E12" s="334">
        <v>45891.916666666664</v>
      </c>
      <c r="F12" s="334">
        <v>45891.958333333336</v>
      </c>
      <c r="G12" s="325">
        <v>45892.125</v>
      </c>
      <c r="H12" s="177" t="s">
        <v>242</v>
      </c>
      <c r="I12" s="174" t="s">
        <v>42</v>
      </c>
      <c r="J12" s="187" t="s">
        <v>14</v>
      </c>
      <c r="K12" s="473"/>
      <c r="L12" s="473"/>
      <c r="M12" s="192" t="s">
        <v>6</v>
      </c>
      <c r="N12" s="456">
        <v>0</v>
      </c>
      <c r="O12" s="457">
        <v>0</v>
      </c>
      <c r="P12" s="457">
        <v>0</v>
      </c>
      <c r="Q12" s="39">
        <v>0</v>
      </c>
      <c r="R12" s="40">
        <v>0</v>
      </c>
      <c r="S12" s="36">
        <v>45865.70045138889</v>
      </c>
      <c r="T12" s="37" t="s">
        <v>41</v>
      </c>
      <c r="U12" s="38" t="s">
        <v>445</v>
      </c>
      <c r="V12" s="56">
        <f t="shared" si="0"/>
        <v>45891.583333333336</v>
      </c>
      <c r="W12" s="57">
        <f t="shared" si="1"/>
        <v>45891.541666666664</v>
      </c>
      <c r="X12" s="58">
        <f t="shared" si="2"/>
        <v>45891.5</v>
      </c>
    </row>
    <row r="13" spans="1:38" ht="21" customHeight="1" thickBot="1">
      <c r="A13" s="290">
        <v>2</v>
      </c>
      <c r="B13" s="172">
        <v>45892</v>
      </c>
      <c r="C13" s="331">
        <v>45892.3125</v>
      </c>
      <c r="D13" s="335">
        <v>45892.520833333336</v>
      </c>
      <c r="E13" s="335">
        <v>45892.604166666664</v>
      </c>
      <c r="F13" s="335">
        <v>45892.645833333336</v>
      </c>
      <c r="G13" s="326">
        <v>45892.8125</v>
      </c>
      <c r="H13" s="178" t="s">
        <v>287</v>
      </c>
      <c r="I13" s="175" t="s">
        <v>50</v>
      </c>
      <c r="J13" s="188" t="s">
        <v>10</v>
      </c>
      <c r="K13" s="473"/>
      <c r="L13" s="473"/>
      <c r="M13" s="193" t="s">
        <v>13</v>
      </c>
      <c r="N13" s="458">
        <v>0</v>
      </c>
      <c r="O13" s="470">
        <v>0</v>
      </c>
      <c r="P13" s="470">
        <v>0</v>
      </c>
      <c r="Q13" s="45">
        <v>0</v>
      </c>
      <c r="R13" s="46">
        <v>0</v>
      </c>
      <c r="S13" s="41">
        <v>45865.70045138889</v>
      </c>
      <c r="T13" s="42" t="s">
        <v>41</v>
      </c>
      <c r="U13" s="43" t="s">
        <v>445</v>
      </c>
      <c r="V13" s="34">
        <f t="shared" si="0"/>
        <v>45892.270833333336</v>
      </c>
      <c r="W13" s="471">
        <f t="shared" si="1"/>
        <v>45892.229166666664</v>
      </c>
      <c r="X13" s="35">
        <f t="shared" si="2"/>
        <v>45892.1875</v>
      </c>
    </row>
    <row r="14" spans="1:38" ht="21" customHeight="1" thickBot="1">
      <c r="A14" s="290">
        <v>2</v>
      </c>
      <c r="B14" s="172">
        <v>45892</v>
      </c>
      <c r="C14" s="331">
        <v>45892.416666666664</v>
      </c>
      <c r="D14" s="335">
        <v>45892.625</v>
      </c>
      <c r="E14" s="335">
        <v>45892.708333333336</v>
      </c>
      <c r="F14" s="335">
        <v>45892.75</v>
      </c>
      <c r="G14" s="326">
        <v>45892.916666666664</v>
      </c>
      <c r="H14" s="178" t="s">
        <v>365</v>
      </c>
      <c r="I14" s="175" t="s">
        <v>43</v>
      </c>
      <c r="J14" s="188" t="s">
        <v>3</v>
      </c>
      <c r="K14" s="473"/>
      <c r="L14" s="473"/>
      <c r="M14" s="193" t="s">
        <v>15</v>
      </c>
      <c r="N14" s="458">
        <v>0</v>
      </c>
      <c r="O14" s="470">
        <v>0</v>
      </c>
      <c r="P14" s="470">
        <v>0</v>
      </c>
      <c r="Q14" s="45">
        <v>0</v>
      </c>
      <c r="R14" s="46">
        <v>0</v>
      </c>
      <c r="S14" s="41">
        <v>45865.70045138889</v>
      </c>
      <c r="T14" s="42" t="s">
        <v>41</v>
      </c>
      <c r="U14" s="43" t="s">
        <v>445</v>
      </c>
      <c r="V14" s="34">
        <f t="shared" si="0"/>
        <v>45892.375</v>
      </c>
      <c r="W14" s="471">
        <f t="shared" si="1"/>
        <v>45892.333333333328</v>
      </c>
      <c r="X14" s="35">
        <f t="shared" si="2"/>
        <v>45892.291666666664</v>
      </c>
    </row>
    <row r="15" spans="1:38" ht="21" customHeight="1" thickBot="1">
      <c r="A15" s="290">
        <v>2</v>
      </c>
      <c r="B15" s="172">
        <v>45892</v>
      </c>
      <c r="C15" s="331">
        <v>45892.416666666664</v>
      </c>
      <c r="D15" s="335">
        <v>45892.625</v>
      </c>
      <c r="E15" s="335">
        <v>45892.708333333336</v>
      </c>
      <c r="F15" s="335">
        <v>45892.75</v>
      </c>
      <c r="G15" s="326">
        <v>45892.916666666664</v>
      </c>
      <c r="H15" s="178" t="s">
        <v>133</v>
      </c>
      <c r="I15" s="175" t="s">
        <v>172</v>
      </c>
      <c r="J15" s="190" t="s">
        <v>107</v>
      </c>
      <c r="K15" s="473"/>
      <c r="L15" s="473"/>
      <c r="M15" s="195" t="s">
        <v>2</v>
      </c>
      <c r="N15" s="458">
        <v>0</v>
      </c>
      <c r="O15" s="470">
        <v>0</v>
      </c>
      <c r="P15" s="470">
        <v>0</v>
      </c>
      <c r="Q15" s="45">
        <v>0</v>
      </c>
      <c r="R15" s="46">
        <v>0</v>
      </c>
      <c r="S15" s="41">
        <v>45865.70045138889</v>
      </c>
      <c r="T15" s="42" t="s">
        <v>41</v>
      </c>
      <c r="U15" s="43" t="s">
        <v>445</v>
      </c>
      <c r="V15" s="34">
        <f t="shared" si="0"/>
        <v>45892.375</v>
      </c>
      <c r="W15" s="471">
        <f t="shared" si="1"/>
        <v>45892.333333333328</v>
      </c>
      <c r="X15" s="35">
        <f t="shared" si="2"/>
        <v>45892.291666666664</v>
      </c>
    </row>
    <row r="16" spans="1:38" ht="21" customHeight="1" thickBot="1">
      <c r="A16" s="290">
        <v>2</v>
      </c>
      <c r="B16" s="172">
        <v>45892</v>
      </c>
      <c r="C16" s="331">
        <v>45892.416666666664</v>
      </c>
      <c r="D16" s="335">
        <v>45892.625</v>
      </c>
      <c r="E16" s="335">
        <v>45892.708333333336</v>
      </c>
      <c r="F16" s="335">
        <v>45892.75</v>
      </c>
      <c r="G16" s="326">
        <v>45892.916666666664</v>
      </c>
      <c r="H16" s="178" t="s">
        <v>450</v>
      </c>
      <c r="I16" s="175" t="s">
        <v>451</v>
      </c>
      <c r="J16" s="188" t="s">
        <v>5</v>
      </c>
      <c r="K16" s="473"/>
      <c r="L16" s="473"/>
      <c r="M16" s="193" t="s">
        <v>443</v>
      </c>
      <c r="N16" s="458">
        <v>0</v>
      </c>
      <c r="O16" s="470">
        <v>0</v>
      </c>
      <c r="P16" s="470">
        <v>0</v>
      </c>
      <c r="Q16" s="45">
        <v>0</v>
      </c>
      <c r="R16" s="46">
        <v>0</v>
      </c>
      <c r="S16" s="41">
        <v>45865.70045138889</v>
      </c>
      <c r="T16" s="42" t="s">
        <v>41</v>
      </c>
      <c r="U16" s="43" t="s">
        <v>445</v>
      </c>
      <c r="V16" s="34">
        <f t="shared" si="0"/>
        <v>45892.375</v>
      </c>
      <c r="W16" s="471">
        <f t="shared" si="1"/>
        <v>45892.333333333328</v>
      </c>
      <c r="X16" s="35">
        <f t="shared" si="2"/>
        <v>45892.291666666664</v>
      </c>
    </row>
    <row r="17" spans="1:24" ht="21" customHeight="1" thickBot="1">
      <c r="A17" s="290">
        <v>2</v>
      </c>
      <c r="B17" s="172">
        <v>45892</v>
      </c>
      <c r="C17" s="331">
        <v>45892.520833333336</v>
      </c>
      <c r="D17" s="335">
        <v>45892.729166666664</v>
      </c>
      <c r="E17" s="335">
        <v>45892.8125</v>
      </c>
      <c r="F17" s="335">
        <v>45892.854166666664</v>
      </c>
      <c r="G17" s="326">
        <v>45893.020833333336</v>
      </c>
      <c r="H17" s="178" t="s">
        <v>515</v>
      </c>
      <c r="I17" s="175" t="s">
        <v>48</v>
      </c>
      <c r="J17" s="191" t="s">
        <v>1</v>
      </c>
      <c r="K17" s="473"/>
      <c r="L17" s="473"/>
      <c r="M17" s="196" t="s">
        <v>444</v>
      </c>
      <c r="N17" s="458">
        <v>0</v>
      </c>
      <c r="O17" s="470">
        <v>0</v>
      </c>
      <c r="P17" s="470">
        <v>0</v>
      </c>
      <c r="Q17" s="45">
        <v>0</v>
      </c>
      <c r="R17" s="46">
        <v>0</v>
      </c>
      <c r="S17" s="41">
        <v>45865.70045138889</v>
      </c>
      <c r="T17" s="42" t="s">
        <v>41</v>
      </c>
      <c r="U17" s="43" t="s">
        <v>445</v>
      </c>
      <c r="V17" s="34">
        <f t="shared" si="0"/>
        <v>45892.479166666672</v>
      </c>
      <c r="W17" s="471">
        <f t="shared" si="1"/>
        <v>45892.4375</v>
      </c>
      <c r="X17" s="35">
        <f t="shared" si="2"/>
        <v>45892.395833333336</v>
      </c>
    </row>
    <row r="18" spans="1:24" ht="21" customHeight="1" thickBot="1">
      <c r="A18" s="290">
        <v>2</v>
      </c>
      <c r="B18" s="172">
        <v>45893</v>
      </c>
      <c r="C18" s="331">
        <v>45893.375</v>
      </c>
      <c r="D18" s="335">
        <v>45893.583333333336</v>
      </c>
      <c r="E18" s="335">
        <v>45893.666666666664</v>
      </c>
      <c r="F18" s="335">
        <v>45893.708333333336</v>
      </c>
      <c r="G18" s="326">
        <v>45893.875</v>
      </c>
      <c r="H18" s="178" t="s">
        <v>414</v>
      </c>
      <c r="I18" s="175" t="s">
        <v>44</v>
      </c>
      <c r="J18" s="190" t="s">
        <v>7</v>
      </c>
      <c r="K18" s="473"/>
      <c r="L18" s="473"/>
      <c r="M18" s="195" t="s">
        <v>188</v>
      </c>
      <c r="N18" s="458">
        <v>0</v>
      </c>
      <c r="O18" s="470">
        <v>0</v>
      </c>
      <c r="P18" s="470">
        <v>0</v>
      </c>
      <c r="Q18" s="45">
        <v>0</v>
      </c>
      <c r="R18" s="46">
        <v>0</v>
      </c>
      <c r="S18" s="41">
        <v>45865.70045138889</v>
      </c>
      <c r="T18" s="42" t="s">
        <v>41</v>
      </c>
      <c r="U18" s="43" t="s">
        <v>445</v>
      </c>
      <c r="V18" s="34">
        <f t="shared" si="0"/>
        <v>45893.333333333336</v>
      </c>
      <c r="W18" s="471">
        <f t="shared" si="1"/>
        <v>45893.291666666664</v>
      </c>
      <c r="X18" s="35">
        <f t="shared" si="2"/>
        <v>45893.25</v>
      </c>
    </row>
    <row r="19" spans="1:24" ht="21" customHeight="1" thickBot="1">
      <c r="A19" s="290">
        <v>2</v>
      </c>
      <c r="B19" s="172">
        <v>45893</v>
      </c>
      <c r="C19" s="331">
        <v>45893.375</v>
      </c>
      <c r="D19" s="335">
        <v>45893.583333333336</v>
      </c>
      <c r="E19" s="335">
        <v>45893.666666666664</v>
      </c>
      <c r="F19" s="335">
        <v>45893.708333333336</v>
      </c>
      <c r="G19" s="326">
        <v>45893.875</v>
      </c>
      <c r="H19" s="178" t="s">
        <v>221</v>
      </c>
      <c r="I19" s="175" t="s">
        <v>452</v>
      </c>
      <c r="J19" s="188" t="s">
        <v>8</v>
      </c>
      <c r="K19" s="473"/>
      <c r="L19" s="473"/>
      <c r="M19" s="193" t="s">
        <v>4</v>
      </c>
      <c r="N19" s="458">
        <v>0</v>
      </c>
      <c r="O19" s="470">
        <v>0</v>
      </c>
      <c r="P19" s="470">
        <v>0</v>
      </c>
      <c r="Q19" s="45">
        <v>0</v>
      </c>
      <c r="R19" s="46">
        <v>0</v>
      </c>
      <c r="S19" s="41">
        <v>45865.70045138889</v>
      </c>
      <c r="T19" s="42" t="s">
        <v>41</v>
      </c>
      <c r="U19" s="43" t="s">
        <v>445</v>
      </c>
      <c r="V19" s="34">
        <f t="shared" si="0"/>
        <v>45893.333333333336</v>
      </c>
      <c r="W19" s="471">
        <f t="shared" si="1"/>
        <v>45893.291666666664</v>
      </c>
      <c r="X19" s="35">
        <f t="shared" si="2"/>
        <v>45893.25</v>
      </c>
    </row>
    <row r="20" spans="1:24" ht="21" customHeight="1" thickBot="1">
      <c r="A20" s="290">
        <v>2</v>
      </c>
      <c r="B20" s="172">
        <v>45893</v>
      </c>
      <c r="C20" s="331">
        <v>45893.479166666664</v>
      </c>
      <c r="D20" s="335">
        <v>45893.6875</v>
      </c>
      <c r="E20" s="335">
        <v>45893.770833333336</v>
      </c>
      <c r="F20" s="335">
        <v>45893.8125</v>
      </c>
      <c r="G20" s="326">
        <v>45893.979166666664</v>
      </c>
      <c r="H20" s="178" t="s">
        <v>349</v>
      </c>
      <c r="I20" s="175" t="s">
        <v>157</v>
      </c>
      <c r="J20" s="191" t="s">
        <v>108</v>
      </c>
      <c r="K20" s="473"/>
      <c r="L20" s="473"/>
      <c r="M20" s="196" t="s">
        <v>11</v>
      </c>
      <c r="N20" s="458">
        <v>0</v>
      </c>
      <c r="O20" s="470">
        <v>0</v>
      </c>
      <c r="P20" s="470">
        <v>0</v>
      </c>
      <c r="Q20" s="45">
        <v>0</v>
      </c>
      <c r="R20" s="46">
        <v>0</v>
      </c>
      <c r="S20" s="41">
        <v>45865.70045138889</v>
      </c>
      <c r="T20" s="42" t="s">
        <v>41</v>
      </c>
      <c r="U20" s="43" t="s">
        <v>445</v>
      </c>
      <c r="V20" s="34">
        <f t="shared" si="0"/>
        <v>45893.4375</v>
      </c>
      <c r="W20" s="471">
        <f t="shared" si="1"/>
        <v>45893.395833333328</v>
      </c>
      <c r="X20" s="35">
        <f t="shared" si="2"/>
        <v>45893.354166666664</v>
      </c>
    </row>
    <row r="21" spans="1:24" ht="21" customHeight="1" thickBot="1">
      <c r="A21" s="290">
        <v>2</v>
      </c>
      <c r="B21" s="172">
        <v>45894</v>
      </c>
      <c r="C21" s="331">
        <v>45894.625</v>
      </c>
      <c r="D21" s="335">
        <v>45894.833333333336</v>
      </c>
      <c r="E21" s="335">
        <v>45894.916666666664</v>
      </c>
      <c r="F21" s="335">
        <v>45894.958333333336</v>
      </c>
      <c r="G21" s="326">
        <v>45895.125</v>
      </c>
      <c r="H21" s="178" t="s">
        <v>297</v>
      </c>
      <c r="I21" s="175" t="s">
        <v>46</v>
      </c>
      <c r="J21" s="188" t="s">
        <v>12</v>
      </c>
      <c r="K21" s="473"/>
      <c r="L21" s="473"/>
      <c r="M21" s="193" t="s">
        <v>9</v>
      </c>
      <c r="N21" s="458">
        <v>0</v>
      </c>
      <c r="O21" s="470">
        <v>0</v>
      </c>
      <c r="P21" s="470">
        <v>0</v>
      </c>
      <c r="Q21" s="45">
        <v>0</v>
      </c>
      <c r="R21" s="46">
        <v>0</v>
      </c>
      <c r="S21" s="41">
        <v>45865.70045138889</v>
      </c>
      <c r="T21" s="42" t="s">
        <v>41</v>
      </c>
      <c r="U21" s="43" t="s">
        <v>445</v>
      </c>
      <c r="V21" s="34">
        <f t="shared" si="0"/>
        <v>45894.583333333336</v>
      </c>
      <c r="W21" s="471">
        <f t="shared" si="1"/>
        <v>45894.541666666664</v>
      </c>
      <c r="X21" s="35">
        <f t="shared" si="2"/>
        <v>45894.5</v>
      </c>
    </row>
    <row r="22" spans="1:24" ht="21" customHeight="1" thickBot="1">
      <c r="A22" s="289">
        <v>3</v>
      </c>
      <c r="B22" s="171">
        <v>45898</v>
      </c>
      <c r="C22" s="330">
        <v>45898.625</v>
      </c>
      <c r="D22" s="334">
        <v>45898.833333333336</v>
      </c>
      <c r="E22" s="334">
        <v>45898.916666666664</v>
      </c>
      <c r="F22" s="334">
        <v>45898.958333333336</v>
      </c>
      <c r="G22" s="325">
        <v>45899.125</v>
      </c>
      <c r="H22" s="177" t="s">
        <v>150</v>
      </c>
      <c r="I22" s="174" t="s">
        <v>49</v>
      </c>
      <c r="J22" s="197" t="s">
        <v>2</v>
      </c>
      <c r="K22" s="473"/>
      <c r="L22" s="473"/>
      <c r="M22" s="198" t="s">
        <v>7</v>
      </c>
      <c r="N22" s="456">
        <v>0</v>
      </c>
      <c r="O22" s="457">
        <v>0</v>
      </c>
      <c r="P22" s="457">
        <v>0</v>
      </c>
      <c r="Q22" s="39">
        <v>0</v>
      </c>
      <c r="R22" s="40">
        <v>0</v>
      </c>
      <c r="S22" s="36">
        <v>45865.70045138889</v>
      </c>
      <c r="T22" s="37" t="s">
        <v>41</v>
      </c>
      <c r="U22" s="38" t="s">
        <v>445</v>
      </c>
      <c r="V22" s="56">
        <f t="shared" si="0"/>
        <v>45898.583333333336</v>
      </c>
      <c r="W22" s="57">
        <f t="shared" si="1"/>
        <v>45898.541666666664</v>
      </c>
      <c r="X22" s="58">
        <f t="shared" si="2"/>
        <v>45898.5</v>
      </c>
    </row>
    <row r="23" spans="1:24" ht="21" customHeight="1" thickBot="1">
      <c r="A23" s="290">
        <v>3</v>
      </c>
      <c r="B23" s="172">
        <v>45899</v>
      </c>
      <c r="C23" s="331">
        <v>45899.3125</v>
      </c>
      <c r="D23" s="335">
        <v>45899.520833333336</v>
      </c>
      <c r="E23" s="335">
        <v>45899.604166666664</v>
      </c>
      <c r="F23" s="335">
        <v>45899.645833333336</v>
      </c>
      <c r="G23" s="326">
        <v>45899.8125</v>
      </c>
      <c r="H23" s="178" t="s">
        <v>165</v>
      </c>
      <c r="I23" s="175" t="s">
        <v>51</v>
      </c>
      <c r="J23" s="188" t="s">
        <v>6</v>
      </c>
      <c r="K23" s="473"/>
      <c r="L23" s="473"/>
      <c r="M23" s="193" t="s">
        <v>108</v>
      </c>
      <c r="N23" s="458">
        <v>0</v>
      </c>
      <c r="O23" s="470">
        <v>0</v>
      </c>
      <c r="P23" s="470">
        <v>0</v>
      </c>
      <c r="Q23" s="45">
        <v>0</v>
      </c>
      <c r="R23" s="46">
        <v>0</v>
      </c>
      <c r="S23" s="41">
        <v>45865.70045138889</v>
      </c>
      <c r="T23" s="42" t="s">
        <v>41</v>
      </c>
      <c r="U23" s="43" t="s">
        <v>445</v>
      </c>
      <c r="V23" s="34">
        <f t="shared" si="0"/>
        <v>45899.270833333336</v>
      </c>
      <c r="W23" s="471">
        <f t="shared" si="1"/>
        <v>45899.229166666664</v>
      </c>
      <c r="X23" s="35">
        <f t="shared" si="2"/>
        <v>45899.1875</v>
      </c>
    </row>
    <row r="24" spans="1:24" ht="21" customHeight="1" thickBot="1">
      <c r="A24" s="290">
        <v>3</v>
      </c>
      <c r="B24" s="172">
        <v>45899</v>
      </c>
      <c r="C24" s="331">
        <v>45899.416666666664</v>
      </c>
      <c r="D24" s="335">
        <v>45899.625</v>
      </c>
      <c r="E24" s="335">
        <v>45899.708333333336</v>
      </c>
      <c r="F24" s="335">
        <v>45899.75</v>
      </c>
      <c r="G24" s="326">
        <v>45899.916666666664</v>
      </c>
      <c r="H24" s="178" t="s">
        <v>453</v>
      </c>
      <c r="I24" s="175" t="s">
        <v>47</v>
      </c>
      <c r="J24" s="191" t="s">
        <v>11</v>
      </c>
      <c r="K24" s="473"/>
      <c r="L24" s="473"/>
      <c r="M24" s="196" t="s">
        <v>5</v>
      </c>
      <c r="N24" s="458">
        <v>0</v>
      </c>
      <c r="O24" s="470">
        <v>0</v>
      </c>
      <c r="P24" s="470">
        <v>0</v>
      </c>
      <c r="Q24" s="45">
        <v>0</v>
      </c>
      <c r="R24" s="46">
        <v>0</v>
      </c>
      <c r="S24" s="41">
        <v>45865.70045138889</v>
      </c>
      <c r="T24" s="42" t="s">
        <v>41</v>
      </c>
      <c r="U24" s="43" t="s">
        <v>445</v>
      </c>
      <c r="V24" s="34">
        <f t="shared" si="0"/>
        <v>45899.375</v>
      </c>
      <c r="W24" s="471">
        <f t="shared" si="1"/>
        <v>45899.333333333328</v>
      </c>
      <c r="X24" s="35">
        <f t="shared" si="2"/>
        <v>45899.291666666664</v>
      </c>
    </row>
    <row r="25" spans="1:24" ht="21" customHeight="1" thickBot="1">
      <c r="A25" s="290">
        <v>3</v>
      </c>
      <c r="B25" s="172">
        <v>45899</v>
      </c>
      <c r="C25" s="331">
        <v>45899.416666666664</v>
      </c>
      <c r="D25" s="335">
        <v>45899.625</v>
      </c>
      <c r="E25" s="335">
        <v>45899.708333333336</v>
      </c>
      <c r="F25" s="335">
        <v>45899.75</v>
      </c>
      <c r="G25" s="326">
        <v>45899.916666666664</v>
      </c>
      <c r="H25" s="178" t="s">
        <v>377</v>
      </c>
      <c r="I25" s="175" t="s">
        <v>45</v>
      </c>
      <c r="J25" s="188" t="s">
        <v>13</v>
      </c>
      <c r="K25" s="473"/>
      <c r="L25" s="473"/>
      <c r="M25" s="193" t="s">
        <v>3</v>
      </c>
      <c r="N25" s="458">
        <v>0</v>
      </c>
      <c r="O25" s="470">
        <v>0</v>
      </c>
      <c r="P25" s="470">
        <v>0</v>
      </c>
      <c r="Q25" s="45">
        <v>0</v>
      </c>
      <c r="R25" s="46">
        <v>0</v>
      </c>
      <c r="S25" s="41">
        <v>45865.70045138889</v>
      </c>
      <c r="T25" s="42" t="s">
        <v>41</v>
      </c>
      <c r="U25" s="43" t="s">
        <v>445</v>
      </c>
      <c r="V25" s="34">
        <f t="shared" si="0"/>
        <v>45899.375</v>
      </c>
      <c r="W25" s="471">
        <f t="shared" si="1"/>
        <v>45899.333333333328</v>
      </c>
      <c r="X25" s="35">
        <f t="shared" si="2"/>
        <v>45899.291666666664</v>
      </c>
    </row>
    <row r="26" spans="1:24" ht="21" customHeight="1" thickBot="1">
      <c r="A26" s="290">
        <v>3</v>
      </c>
      <c r="B26" s="172">
        <v>45899</v>
      </c>
      <c r="C26" s="331">
        <v>45899.416666666664</v>
      </c>
      <c r="D26" s="335">
        <v>45899.625</v>
      </c>
      <c r="E26" s="335">
        <v>45899.708333333336</v>
      </c>
      <c r="F26" s="335">
        <v>45899.75</v>
      </c>
      <c r="G26" s="326">
        <v>45899.916666666664</v>
      </c>
      <c r="H26" s="178" t="s">
        <v>454</v>
      </c>
      <c r="I26" s="175" t="s">
        <v>448</v>
      </c>
      <c r="J26" s="188" t="s">
        <v>443</v>
      </c>
      <c r="K26" s="473"/>
      <c r="L26" s="473"/>
      <c r="M26" s="193" t="s">
        <v>107</v>
      </c>
      <c r="N26" s="458">
        <v>0</v>
      </c>
      <c r="O26" s="470">
        <v>0</v>
      </c>
      <c r="P26" s="470">
        <v>0</v>
      </c>
      <c r="Q26" s="45">
        <v>0</v>
      </c>
      <c r="R26" s="46">
        <v>0</v>
      </c>
      <c r="S26" s="41">
        <v>45865.70045138889</v>
      </c>
      <c r="T26" s="42" t="s">
        <v>41</v>
      </c>
      <c r="U26" s="43" t="s">
        <v>445</v>
      </c>
      <c r="V26" s="34">
        <f t="shared" si="0"/>
        <v>45899.375</v>
      </c>
      <c r="W26" s="471">
        <f t="shared" si="1"/>
        <v>45899.333333333328</v>
      </c>
      <c r="X26" s="35">
        <f t="shared" si="2"/>
        <v>45899.291666666664</v>
      </c>
    </row>
    <row r="27" spans="1:24" ht="21" customHeight="1" thickBot="1">
      <c r="A27" s="290">
        <v>3</v>
      </c>
      <c r="B27" s="172">
        <v>45899</v>
      </c>
      <c r="C27" s="331">
        <v>45899.416666666664</v>
      </c>
      <c r="D27" s="335">
        <v>45899.625</v>
      </c>
      <c r="E27" s="335">
        <v>45899.708333333336</v>
      </c>
      <c r="F27" s="335">
        <v>45899.75</v>
      </c>
      <c r="G27" s="326">
        <v>45899.916666666664</v>
      </c>
      <c r="H27" s="178" t="s">
        <v>379</v>
      </c>
      <c r="I27" s="175" t="s">
        <v>52</v>
      </c>
      <c r="J27" s="188" t="s">
        <v>15</v>
      </c>
      <c r="K27" s="473"/>
      <c r="L27" s="473"/>
      <c r="M27" s="193" t="s">
        <v>8</v>
      </c>
      <c r="N27" s="458">
        <v>0</v>
      </c>
      <c r="O27" s="470">
        <v>0</v>
      </c>
      <c r="P27" s="470">
        <v>0</v>
      </c>
      <c r="Q27" s="45">
        <v>0</v>
      </c>
      <c r="R27" s="46">
        <v>0</v>
      </c>
      <c r="S27" s="41">
        <v>45865.70045138889</v>
      </c>
      <c r="T27" s="42" t="s">
        <v>41</v>
      </c>
      <c r="U27" s="43" t="s">
        <v>445</v>
      </c>
      <c r="V27" s="34">
        <f t="shared" si="0"/>
        <v>45899.375</v>
      </c>
      <c r="W27" s="471">
        <f t="shared" si="1"/>
        <v>45899.333333333328</v>
      </c>
      <c r="X27" s="35">
        <f t="shared" si="2"/>
        <v>45899.291666666664</v>
      </c>
    </row>
    <row r="28" spans="1:24" ht="21" customHeight="1" thickBot="1">
      <c r="A28" s="290">
        <v>3</v>
      </c>
      <c r="B28" s="172">
        <v>45899</v>
      </c>
      <c r="C28" s="331">
        <v>45899.520833333336</v>
      </c>
      <c r="D28" s="335">
        <v>45899.729166666664</v>
      </c>
      <c r="E28" s="335">
        <v>45899.8125</v>
      </c>
      <c r="F28" s="335">
        <v>45899.854166666664</v>
      </c>
      <c r="G28" s="326">
        <v>45900.020833333336</v>
      </c>
      <c r="H28" s="178" t="s">
        <v>516</v>
      </c>
      <c r="I28" s="175" t="s">
        <v>449</v>
      </c>
      <c r="J28" s="188" t="s">
        <v>444</v>
      </c>
      <c r="K28" s="473"/>
      <c r="L28" s="473"/>
      <c r="M28" s="193" t="s">
        <v>12</v>
      </c>
      <c r="N28" s="458">
        <v>0</v>
      </c>
      <c r="O28" s="470">
        <v>0</v>
      </c>
      <c r="P28" s="470">
        <v>0</v>
      </c>
      <c r="Q28" s="45">
        <v>0</v>
      </c>
      <c r="R28" s="46">
        <v>0</v>
      </c>
      <c r="S28" s="41">
        <v>45865.70045138889</v>
      </c>
      <c r="T28" s="42" t="s">
        <v>41</v>
      </c>
      <c r="U28" s="43" t="s">
        <v>445</v>
      </c>
      <c r="V28" s="34">
        <f t="shared" si="0"/>
        <v>45899.479166666672</v>
      </c>
      <c r="W28" s="471">
        <f t="shared" si="1"/>
        <v>45899.4375</v>
      </c>
      <c r="X28" s="35">
        <f t="shared" si="2"/>
        <v>45899.395833333336</v>
      </c>
    </row>
    <row r="29" spans="1:24" ht="21" customHeight="1" thickBot="1">
      <c r="A29" s="290">
        <v>3</v>
      </c>
      <c r="B29" s="172">
        <v>45900</v>
      </c>
      <c r="C29" s="331">
        <v>45900.375</v>
      </c>
      <c r="D29" s="335">
        <v>45900.583333333336</v>
      </c>
      <c r="E29" s="335">
        <v>45900.666666666664</v>
      </c>
      <c r="F29" s="335">
        <v>45900.708333333336</v>
      </c>
      <c r="G29" s="326">
        <v>45900.875</v>
      </c>
      <c r="H29" s="178" t="s">
        <v>282</v>
      </c>
      <c r="I29" s="175" t="s">
        <v>217</v>
      </c>
      <c r="J29" s="191" t="s">
        <v>4</v>
      </c>
      <c r="K29" s="473"/>
      <c r="L29" s="473"/>
      <c r="M29" s="196" t="s">
        <v>10</v>
      </c>
      <c r="N29" s="458">
        <v>0</v>
      </c>
      <c r="O29" s="470">
        <v>0</v>
      </c>
      <c r="P29" s="470">
        <v>0</v>
      </c>
      <c r="Q29" s="45">
        <v>0</v>
      </c>
      <c r="R29" s="46">
        <v>0</v>
      </c>
      <c r="S29" s="41">
        <v>45865.70045138889</v>
      </c>
      <c r="T29" s="42" t="s">
        <v>41</v>
      </c>
      <c r="U29" s="43" t="s">
        <v>445</v>
      </c>
      <c r="V29" s="34">
        <f t="shared" si="0"/>
        <v>45900.333333333336</v>
      </c>
      <c r="W29" s="471">
        <f t="shared" si="1"/>
        <v>45900.291666666664</v>
      </c>
      <c r="X29" s="35">
        <f t="shared" si="2"/>
        <v>45900.25</v>
      </c>
    </row>
    <row r="30" spans="1:24" ht="21" customHeight="1" thickBot="1">
      <c r="A30" s="290">
        <v>3</v>
      </c>
      <c r="B30" s="172">
        <v>45900</v>
      </c>
      <c r="C30" s="331">
        <v>45900.375</v>
      </c>
      <c r="D30" s="335">
        <v>45900.583333333336</v>
      </c>
      <c r="E30" s="335">
        <v>45900.666666666664</v>
      </c>
      <c r="F30" s="335">
        <v>45900.708333333336</v>
      </c>
      <c r="G30" s="326">
        <v>45900.875</v>
      </c>
      <c r="H30" s="178" t="s">
        <v>276</v>
      </c>
      <c r="I30" s="175" t="s">
        <v>158</v>
      </c>
      <c r="J30" s="188" t="s">
        <v>188</v>
      </c>
      <c r="K30" s="473"/>
      <c r="L30" s="473"/>
      <c r="M30" s="193" t="s">
        <v>14</v>
      </c>
      <c r="N30" s="458">
        <v>0</v>
      </c>
      <c r="O30" s="470">
        <v>0</v>
      </c>
      <c r="P30" s="470">
        <v>0</v>
      </c>
      <c r="Q30" s="45">
        <v>0</v>
      </c>
      <c r="R30" s="46">
        <v>0</v>
      </c>
      <c r="S30" s="41">
        <v>45865.70045138889</v>
      </c>
      <c r="T30" s="42" t="s">
        <v>41</v>
      </c>
      <c r="U30" s="43" t="s">
        <v>445</v>
      </c>
      <c r="V30" s="34">
        <f t="shared" si="0"/>
        <v>45900.333333333336</v>
      </c>
      <c r="W30" s="471">
        <f t="shared" si="1"/>
        <v>45900.291666666664</v>
      </c>
      <c r="X30" s="35">
        <f t="shared" si="2"/>
        <v>45900.25</v>
      </c>
    </row>
    <row r="31" spans="1:24" ht="21" customHeight="1" thickBot="1">
      <c r="A31" s="290">
        <v>3</v>
      </c>
      <c r="B31" s="172">
        <v>45900</v>
      </c>
      <c r="C31" s="331">
        <v>45900.479166666664</v>
      </c>
      <c r="D31" s="335">
        <v>45900.6875</v>
      </c>
      <c r="E31" s="335">
        <v>45900.770833333336</v>
      </c>
      <c r="F31" s="335">
        <v>45900.8125</v>
      </c>
      <c r="G31" s="326">
        <v>45900.979166666664</v>
      </c>
      <c r="H31" s="178" t="s">
        <v>124</v>
      </c>
      <c r="I31" s="175" t="s">
        <v>40</v>
      </c>
      <c r="J31" s="191" t="s">
        <v>9</v>
      </c>
      <c r="K31" s="473"/>
      <c r="L31" s="473"/>
      <c r="M31" s="196" t="s">
        <v>1</v>
      </c>
      <c r="N31" s="458">
        <v>0</v>
      </c>
      <c r="O31" s="470">
        <v>0</v>
      </c>
      <c r="P31" s="470">
        <v>0</v>
      </c>
      <c r="Q31" s="45">
        <v>0</v>
      </c>
      <c r="R31" s="46">
        <v>0</v>
      </c>
      <c r="S31" s="41">
        <v>45865.70045138889</v>
      </c>
      <c r="T31" s="42" t="s">
        <v>41</v>
      </c>
      <c r="U31" s="43" t="s">
        <v>445</v>
      </c>
      <c r="V31" s="34">
        <f t="shared" si="0"/>
        <v>45900.4375</v>
      </c>
      <c r="W31" s="471">
        <f t="shared" si="1"/>
        <v>45900.395833333328</v>
      </c>
      <c r="X31" s="35">
        <f t="shared" si="2"/>
        <v>45900.354166666664</v>
      </c>
    </row>
    <row r="32" spans="1:24" ht="21" customHeight="1" thickBot="1">
      <c r="A32" s="289">
        <v>4</v>
      </c>
      <c r="B32" s="171">
        <v>45913</v>
      </c>
      <c r="C32" s="330">
        <v>45913.3125</v>
      </c>
      <c r="D32" s="334">
        <v>45913.520833333336</v>
      </c>
      <c r="E32" s="334">
        <v>45913.604166666664</v>
      </c>
      <c r="F32" s="334">
        <v>45913.645833333336</v>
      </c>
      <c r="G32" s="325">
        <v>45913.8125</v>
      </c>
      <c r="H32" s="177" t="s">
        <v>284</v>
      </c>
      <c r="I32" s="174" t="s">
        <v>48</v>
      </c>
      <c r="J32" s="197" t="s">
        <v>1</v>
      </c>
      <c r="K32" s="473"/>
      <c r="L32" s="473"/>
      <c r="M32" s="198" t="s">
        <v>188</v>
      </c>
      <c r="N32" s="456">
        <v>0</v>
      </c>
      <c r="O32" s="457">
        <v>0</v>
      </c>
      <c r="P32" s="457">
        <v>0</v>
      </c>
      <c r="Q32" s="39">
        <v>0</v>
      </c>
      <c r="R32" s="40">
        <v>0</v>
      </c>
      <c r="S32" s="36">
        <v>45865.70045138889</v>
      </c>
      <c r="T32" s="37" t="s">
        <v>41</v>
      </c>
      <c r="U32" s="38" t="s">
        <v>445</v>
      </c>
      <c r="V32" s="56">
        <f t="shared" si="0"/>
        <v>45913.270833333336</v>
      </c>
      <c r="W32" s="57">
        <f t="shared" si="1"/>
        <v>45913.229166666664</v>
      </c>
      <c r="X32" s="58">
        <f t="shared" si="2"/>
        <v>45913.1875</v>
      </c>
    </row>
    <row r="33" spans="1:24" ht="21" customHeight="1" thickBot="1">
      <c r="A33" s="290">
        <v>4</v>
      </c>
      <c r="B33" s="172">
        <v>45913</v>
      </c>
      <c r="C33" s="331">
        <v>45913.416666666664</v>
      </c>
      <c r="D33" s="335">
        <v>45913.625</v>
      </c>
      <c r="E33" s="335">
        <v>45913.708333333336</v>
      </c>
      <c r="F33" s="335">
        <v>45913.75</v>
      </c>
      <c r="G33" s="326">
        <v>45913.916666666664</v>
      </c>
      <c r="H33" s="178" t="s">
        <v>285</v>
      </c>
      <c r="I33" s="175" t="s">
        <v>43</v>
      </c>
      <c r="J33" s="188" t="s">
        <v>3</v>
      </c>
      <c r="K33" s="473"/>
      <c r="L33" s="473"/>
      <c r="M33" s="193" t="s">
        <v>4</v>
      </c>
      <c r="N33" s="458">
        <v>0</v>
      </c>
      <c r="O33" s="470">
        <v>0</v>
      </c>
      <c r="P33" s="470">
        <v>0</v>
      </c>
      <c r="Q33" s="45">
        <v>0</v>
      </c>
      <c r="R33" s="46">
        <v>0</v>
      </c>
      <c r="S33" s="41">
        <v>45865.70045138889</v>
      </c>
      <c r="T33" s="42" t="s">
        <v>41</v>
      </c>
      <c r="U33" s="43" t="s">
        <v>445</v>
      </c>
      <c r="V33" s="34">
        <f t="shared" si="0"/>
        <v>45913.375</v>
      </c>
      <c r="W33" s="471">
        <f t="shared" si="1"/>
        <v>45913.333333333328</v>
      </c>
      <c r="X33" s="35">
        <f t="shared" si="2"/>
        <v>45913.291666666664</v>
      </c>
    </row>
    <row r="34" spans="1:24" ht="21" customHeight="1" thickBot="1">
      <c r="A34" s="290">
        <v>4</v>
      </c>
      <c r="B34" s="172">
        <v>45913</v>
      </c>
      <c r="C34" s="331">
        <v>45913.416666666664</v>
      </c>
      <c r="D34" s="335">
        <v>45913.625</v>
      </c>
      <c r="E34" s="335">
        <v>45913.708333333336</v>
      </c>
      <c r="F34" s="335">
        <v>45913.75</v>
      </c>
      <c r="G34" s="326">
        <v>45913.916666666664</v>
      </c>
      <c r="H34" s="178" t="s">
        <v>456</v>
      </c>
      <c r="I34" s="175" t="s">
        <v>44</v>
      </c>
      <c r="J34" s="188" t="s">
        <v>7</v>
      </c>
      <c r="K34" s="473"/>
      <c r="L34" s="473"/>
      <c r="M34" s="193" t="s">
        <v>443</v>
      </c>
      <c r="N34" s="458">
        <v>0</v>
      </c>
      <c r="O34" s="470">
        <v>0</v>
      </c>
      <c r="P34" s="470">
        <v>0</v>
      </c>
      <c r="Q34" s="45">
        <v>0</v>
      </c>
      <c r="R34" s="46">
        <v>0</v>
      </c>
      <c r="S34" s="41">
        <v>45865.70045138889</v>
      </c>
      <c r="T34" s="42" t="s">
        <v>41</v>
      </c>
      <c r="U34" s="43" t="s">
        <v>445</v>
      </c>
      <c r="V34" s="34">
        <f t="shared" si="0"/>
        <v>45913.375</v>
      </c>
      <c r="W34" s="471">
        <f t="shared" si="1"/>
        <v>45913.333333333328</v>
      </c>
      <c r="X34" s="35">
        <f t="shared" si="2"/>
        <v>45913.291666666664</v>
      </c>
    </row>
    <row r="35" spans="1:24" ht="21" customHeight="1" thickBot="1">
      <c r="A35" s="290">
        <v>4</v>
      </c>
      <c r="B35" s="172">
        <v>45913</v>
      </c>
      <c r="C35" s="331">
        <v>45913.416666666664</v>
      </c>
      <c r="D35" s="335">
        <v>45913.625</v>
      </c>
      <c r="E35" s="335">
        <v>45913.708333333336</v>
      </c>
      <c r="F35" s="335">
        <v>45913.75</v>
      </c>
      <c r="G35" s="326">
        <v>45913.916666666664</v>
      </c>
      <c r="H35" s="178" t="s">
        <v>137</v>
      </c>
      <c r="I35" s="175" t="s">
        <v>452</v>
      </c>
      <c r="J35" s="188" t="s">
        <v>8</v>
      </c>
      <c r="K35" s="473"/>
      <c r="L35" s="473"/>
      <c r="M35" s="193" t="s">
        <v>2</v>
      </c>
      <c r="N35" s="458">
        <v>0</v>
      </c>
      <c r="O35" s="470">
        <v>0</v>
      </c>
      <c r="P35" s="470">
        <v>0</v>
      </c>
      <c r="Q35" s="45">
        <v>0</v>
      </c>
      <c r="R35" s="46">
        <v>0</v>
      </c>
      <c r="S35" s="41">
        <v>45865.70045138889</v>
      </c>
      <c r="T35" s="42" t="s">
        <v>41</v>
      </c>
      <c r="U35" s="43" t="s">
        <v>445</v>
      </c>
      <c r="V35" s="34">
        <f t="shared" si="0"/>
        <v>45913.375</v>
      </c>
      <c r="W35" s="471">
        <f t="shared" si="1"/>
        <v>45913.333333333328</v>
      </c>
      <c r="X35" s="35">
        <f t="shared" si="2"/>
        <v>45913.291666666664</v>
      </c>
    </row>
    <row r="36" spans="1:24" ht="21" customHeight="1" thickBot="1">
      <c r="A36" s="290">
        <v>4</v>
      </c>
      <c r="B36" s="172">
        <v>45913</v>
      </c>
      <c r="C36" s="331">
        <v>45913.416666666664</v>
      </c>
      <c r="D36" s="335">
        <v>45913.625</v>
      </c>
      <c r="E36" s="335">
        <v>45913.708333333336</v>
      </c>
      <c r="F36" s="335">
        <v>45913.75</v>
      </c>
      <c r="G36" s="326">
        <v>45913.916666666664</v>
      </c>
      <c r="H36" s="178" t="s">
        <v>517</v>
      </c>
      <c r="I36" s="175" t="s">
        <v>157</v>
      </c>
      <c r="J36" s="188" t="s">
        <v>108</v>
      </c>
      <c r="K36" s="473"/>
      <c r="L36" s="473"/>
      <c r="M36" s="193" t="s">
        <v>444</v>
      </c>
      <c r="N36" s="458">
        <v>0</v>
      </c>
      <c r="O36" s="470">
        <v>0</v>
      </c>
      <c r="P36" s="470">
        <v>0</v>
      </c>
      <c r="Q36" s="45">
        <v>0</v>
      </c>
      <c r="R36" s="46">
        <v>0</v>
      </c>
      <c r="S36" s="41">
        <v>45865.70045138889</v>
      </c>
      <c r="T36" s="42" t="s">
        <v>41</v>
      </c>
      <c r="U36" s="43" t="s">
        <v>445</v>
      </c>
      <c r="V36" s="34">
        <f t="shared" si="0"/>
        <v>45913.375</v>
      </c>
      <c r="W36" s="471">
        <f t="shared" si="1"/>
        <v>45913.333333333328</v>
      </c>
      <c r="X36" s="35">
        <f t="shared" si="2"/>
        <v>45913.291666666664</v>
      </c>
    </row>
    <row r="37" spans="1:24" ht="21" customHeight="1" thickBot="1">
      <c r="A37" s="290">
        <v>4</v>
      </c>
      <c r="B37" s="172">
        <v>45913</v>
      </c>
      <c r="C37" s="331">
        <v>45913.416666666664</v>
      </c>
      <c r="D37" s="335">
        <v>45913.625</v>
      </c>
      <c r="E37" s="335">
        <v>45913.708333333336</v>
      </c>
      <c r="F37" s="335">
        <v>45913.75</v>
      </c>
      <c r="G37" s="326">
        <v>45913.916666666664</v>
      </c>
      <c r="H37" s="178" t="s">
        <v>337</v>
      </c>
      <c r="I37" s="175" t="s">
        <v>46</v>
      </c>
      <c r="J37" s="190" t="s">
        <v>12</v>
      </c>
      <c r="K37" s="473"/>
      <c r="L37" s="473"/>
      <c r="M37" s="195" t="s">
        <v>15</v>
      </c>
      <c r="N37" s="458">
        <v>0</v>
      </c>
      <c r="O37" s="470">
        <v>0</v>
      </c>
      <c r="P37" s="470">
        <v>0</v>
      </c>
      <c r="Q37" s="45">
        <v>0</v>
      </c>
      <c r="R37" s="46">
        <v>0</v>
      </c>
      <c r="S37" s="41">
        <v>45865.70045138889</v>
      </c>
      <c r="T37" s="42" t="s">
        <v>41</v>
      </c>
      <c r="U37" s="43" t="s">
        <v>445</v>
      </c>
      <c r="V37" s="34">
        <f t="shared" si="0"/>
        <v>45913.375</v>
      </c>
      <c r="W37" s="471">
        <f t="shared" si="1"/>
        <v>45913.333333333328</v>
      </c>
      <c r="X37" s="35">
        <f t="shared" si="2"/>
        <v>45913.291666666664</v>
      </c>
    </row>
    <row r="38" spans="1:24" ht="21" customHeight="1" thickBot="1">
      <c r="A38" s="290">
        <v>4</v>
      </c>
      <c r="B38" s="172">
        <v>45913</v>
      </c>
      <c r="C38" s="331">
        <v>45913.520833333336</v>
      </c>
      <c r="D38" s="335">
        <v>45913.729166666664</v>
      </c>
      <c r="E38" s="335">
        <v>45913.8125</v>
      </c>
      <c r="F38" s="335">
        <v>45913.854166666664</v>
      </c>
      <c r="G38" s="326">
        <v>45914.020833333336</v>
      </c>
      <c r="H38" s="178" t="s">
        <v>416</v>
      </c>
      <c r="I38" s="175" t="s">
        <v>42</v>
      </c>
      <c r="J38" s="188" t="s">
        <v>14</v>
      </c>
      <c r="K38" s="473"/>
      <c r="L38" s="473"/>
      <c r="M38" s="193" t="s">
        <v>13</v>
      </c>
      <c r="N38" s="458">
        <v>0</v>
      </c>
      <c r="O38" s="470">
        <v>0</v>
      </c>
      <c r="P38" s="470">
        <v>0</v>
      </c>
      <c r="Q38" s="45">
        <v>0</v>
      </c>
      <c r="R38" s="46">
        <v>0</v>
      </c>
      <c r="S38" s="41">
        <v>45865.70045138889</v>
      </c>
      <c r="T38" s="42" t="s">
        <v>41</v>
      </c>
      <c r="U38" s="43" t="s">
        <v>445</v>
      </c>
      <c r="V38" s="34">
        <f t="shared" si="0"/>
        <v>45913.479166666672</v>
      </c>
      <c r="W38" s="471">
        <f t="shared" si="1"/>
        <v>45913.4375</v>
      </c>
      <c r="X38" s="35">
        <f t="shared" si="2"/>
        <v>45913.395833333336</v>
      </c>
    </row>
    <row r="39" spans="1:24" ht="21" customHeight="1" thickBot="1">
      <c r="A39" s="290">
        <v>4</v>
      </c>
      <c r="B39" s="172">
        <v>45913</v>
      </c>
      <c r="C39" s="331">
        <v>45913.625</v>
      </c>
      <c r="D39" s="335">
        <v>45913.833333333336</v>
      </c>
      <c r="E39" s="335">
        <v>45913.916666666664</v>
      </c>
      <c r="F39" s="335">
        <v>45913.958333333336</v>
      </c>
      <c r="G39" s="326">
        <v>45914.125</v>
      </c>
      <c r="H39" s="178" t="s">
        <v>122</v>
      </c>
      <c r="I39" s="175" t="s">
        <v>172</v>
      </c>
      <c r="J39" s="190" t="s">
        <v>107</v>
      </c>
      <c r="K39" s="473"/>
      <c r="L39" s="473"/>
      <c r="M39" s="195" t="s">
        <v>6</v>
      </c>
      <c r="N39" s="458">
        <v>0</v>
      </c>
      <c r="O39" s="470">
        <v>0</v>
      </c>
      <c r="P39" s="470">
        <v>0</v>
      </c>
      <c r="Q39" s="45">
        <v>0</v>
      </c>
      <c r="R39" s="46">
        <v>0</v>
      </c>
      <c r="S39" s="41">
        <v>45865.70045138889</v>
      </c>
      <c r="T39" s="42" t="s">
        <v>41</v>
      </c>
      <c r="U39" s="43" t="s">
        <v>445</v>
      </c>
      <c r="V39" s="34">
        <f t="shared" si="0"/>
        <v>45913.583333333336</v>
      </c>
      <c r="W39" s="471">
        <f t="shared" si="1"/>
        <v>45913.541666666664</v>
      </c>
      <c r="X39" s="35">
        <f t="shared" si="2"/>
        <v>45913.5</v>
      </c>
    </row>
    <row r="40" spans="1:24" ht="21" customHeight="1" thickBot="1">
      <c r="A40" s="290">
        <v>4</v>
      </c>
      <c r="B40" s="172">
        <v>45914</v>
      </c>
      <c r="C40" s="331">
        <v>45914.375</v>
      </c>
      <c r="D40" s="335">
        <v>45914.583333333336</v>
      </c>
      <c r="E40" s="335">
        <v>45914.666666666664</v>
      </c>
      <c r="F40" s="335">
        <v>45914.708333333336</v>
      </c>
      <c r="G40" s="326">
        <v>45914.875</v>
      </c>
      <c r="H40" s="178" t="s">
        <v>455</v>
      </c>
      <c r="I40" s="175" t="s">
        <v>451</v>
      </c>
      <c r="J40" s="188" t="s">
        <v>5</v>
      </c>
      <c r="K40" s="473"/>
      <c r="L40" s="473"/>
      <c r="M40" s="193" t="s">
        <v>9</v>
      </c>
      <c r="N40" s="458">
        <v>0</v>
      </c>
      <c r="O40" s="470">
        <v>0</v>
      </c>
      <c r="P40" s="470">
        <v>0</v>
      </c>
      <c r="Q40" s="45">
        <v>0</v>
      </c>
      <c r="R40" s="46">
        <v>0</v>
      </c>
      <c r="S40" s="41">
        <v>45865.70045138889</v>
      </c>
      <c r="T40" s="42" t="s">
        <v>41</v>
      </c>
      <c r="U40" s="43" t="s">
        <v>445</v>
      </c>
      <c r="V40" s="34">
        <f t="shared" si="0"/>
        <v>45914.333333333336</v>
      </c>
      <c r="W40" s="471">
        <f t="shared" si="1"/>
        <v>45914.291666666664</v>
      </c>
      <c r="X40" s="35">
        <f t="shared" si="2"/>
        <v>45914.25</v>
      </c>
    </row>
    <row r="41" spans="1:24" ht="21" customHeight="1" thickBot="1">
      <c r="A41" s="290">
        <v>4</v>
      </c>
      <c r="B41" s="172">
        <v>45914</v>
      </c>
      <c r="C41" s="331">
        <v>45914.479166666664</v>
      </c>
      <c r="D41" s="335">
        <v>45914.6875</v>
      </c>
      <c r="E41" s="335">
        <v>45914.770833333336</v>
      </c>
      <c r="F41" s="335">
        <v>45914.8125</v>
      </c>
      <c r="G41" s="326">
        <v>45914.979166666664</v>
      </c>
      <c r="H41" s="178" t="s">
        <v>308</v>
      </c>
      <c r="I41" s="175" t="s">
        <v>50</v>
      </c>
      <c r="J41" s="188" t="s">
        <v>10</v>
      </c>
      <c r="K41" s="473"/>
      <c r="L41" s="473"/>
      <c r="M41" s="193" t="s">
        <v>11</v>
      </c>
      <c r="N41" s="458">
        <v>0</v>
      </c>
      <c r="O41" s="470">
        <v>0</v>
      </c>
      <c r="P41" s="470">
        <v>0</v>
      </c>
      <c r="Q41" s="45">
        <v>0</v>
      </c>
      <c r="R41" s="46">
        <v>0</v>
      </c>
      <c r="S41" s="41">
        <v>45865.70045138889</v>
      </c>
      <c r="T41" s="42" t="s">
        <v>41</v>
      </c>
      <c r="U41" s="43" t="s">
        <v>445</v>
      </c>
      <c r="V41" s="34">
        <f t="shared" si="0"/>
        <v>45914.4375</v>
      </c>
      <c r="W41" s="471">
        <f t="shared" si="1"/>
        <v>45914.395833333328</v>
      </c>
      <c r="X41" s="35">
        <f t="shared" si="2"/>
        <v>45914.354166666664</v>
      </c>
    </row>
    <row r="42" spans="1:24" ht="21" customHeight="1" thickBot="1">
      <c r="A42" s="289">
        <v>5</v>
      </c>
      <c r="B42" s="171">
        <v>45920</v>
      </c>
      <c r="C42" s="330">
        <v>45920.3125</v>
      </c>
      <c r="D42" s="334">
        <v>45920.520833333336</v>
      </c>
      <c r="E42" s="334">
        <v>45920.604166666664</v>
      </c>
      <c r="F42" s="334">
        <v>45920.645833333336</v>
      </c>
      <c r="G42" s="325">
        <v>45920.8125</v>
      </c>
      <c r="H42" s="177" t="s">
        <v>148</v>
      </c>
      <c r="I42" s="174" t="s">
        <v>40</v>
      </c>
      <c r="J42" s="187" t="s">
        <v>9</v>
      </c>
      <c r="K42" s="473"/>
      <c r="L42" s="473"/>
      <c r="M42" s="192" t="s">
        <v>8</v>
      </c>
      <c r="N42" s="456">
        <v>0</v>
      </c>
      <c r="O42" s="457">
        <v>0</v>
      </c>
      <c r="P42" s="457">
        <v>0</v>
      </c>
      <c r="Q42" s="39">
        <v>0</v>
      </c>
      <c r="R42" s="40">
        <v>0</v>
      </c>
      <c r="S42" s="36">
        <v>45865.70045138889</v>
      </c>
      <c r="T42" s="37" t="s">
        <v>41</v>
      </c>
      <c r="U42" s="38" t="s">
        <v>445</v>
      </c>
      <c r="V42" s="56">
        <f t="shared" si="0"/>
        <v>45920.270833333336</v>
      </c>
      <c r="W42" s="57">
        <f t="shared" si="1"/>
        <v>45920.229166666664</v>
      </c>
      <c r="X42" s="58">
        <f t="shared" si="2"/>
        <v>45920.1875</v>
      </c>
    </row>
    <row r="43" spans="1:24" ht="21" customHeight="1" thickBot="1">
      <c r="A43" s="290">
        <v>5</v>
      </c>
      <c r="B43" s="172">
        <v>45920</v>
      </c>
      <c r="C43" s="331">
        <v>45920.416666666664</v>
      </c>
      <c r="D43" s="335">
        <v>45920.625</v>
      </c>
      <c r="E43" s="335">
        <v>45920.708333333336</v>
      </c>
      <c r="F43" s="335">
        <v>45920.75</v>
      </c>
      <c r="G43" s="326">
        <v>45920.916666666664</v>
      </c>
      <c r="H43" s="178" t="s">
        <v>228</v>
      </c>
      <c r="I43" s="175" t="s">
        <v>43</v>
      </c>
      <c r="J43" s="188" t="s">
        <v>3</v>
      </c>
      <c r="K43" s="473"/>
      <c r="L43" s="473"/>
      <c r="M43" s="193" t="s">
        <v>12</v>
      </c>
      <c r="N43" s="458">
        <v>0</v>
      </c>
      <c r="O43" s="470">
        <v>0</v>
      </c>
      <c r="P43" s="470">
        <v>0</v>
      </c>
      <c r="Q43" s="45">
        <v>0</v>
      </c>
      <c r="R43" s="46">
        <v>0</v>
      </c>
      <c r="S43" s="41">
        <v>45865.70045138889</v>
      </c>
      <c r="T43" s="42" t="s">
        <v>41</v>
      </c>
      <c r="U43" s="43" t="s">
        <v>445</v>
      </c>
      <c r="V43" s="34">
        <f t="shared" si="0"/>
        <v>45920.375</v>
      </c>
      <c r="W43" s="471">
        <f t="shared" si="1"/>
        <v>45920.333333333328</v>
      </c>
      <c r="X43" s="35">
        <f t="shared" si="2"/>
        <v>45920.291666666664</v>
      </c>
    </row>
    <row r="44" spans="1:24" ht="21" customHeight="1" thickBot="1">
      <c r="A44" s="290">
        <v>5</v>
      </c>
      <c r="B44" s="172">
        <v>45920</v>
      </c>
      <c r="C44" s="331">
        <v>45920.416666666664</v>
      </c>
      <c r="D44" s="335">
        <v>45920.625</v>
      </c>
      <c r="E44" s="335">
        <v>45920.708333333336</v>
      </c>
      <c r="F44" s="335">
        <v>45920.75</v>
      </c>
      <c r="G44" s="326">
        <v>45920.916666666664</v>
      </c>
      <c r="H44" s="178" t="s">
        <v>261</v>
      </c>
      <c r="I44" s="175" t="s">
        <v>217</v>
      </c>
      <c r="J44" s="188" t="s">
        <v>4</v>
      </c>
      <c r="K44" s="473"/>
      <c r="L44" s="473"/>
      <c r="M44" s="193" t="s">
        <v>13</v>
      </c>
      <c r="N44" s="458">
        <v>0</v>
      </c>
      <c r="O44" s="470">
        <v>0</v>
      </c>
      <c r="P44" s="470">
        <v>0</v>
      </c>
      <c r="Q44" s="45">
        <v>0</v>
      </c>
      <c r="R44" s="46">
        <v>0</v>
      </c>
      <c r="S44" s="41">
        <v>45865.70045138889</v>
      </c>
      <c r="T44" s="42" t="s">
        <v>41</v>
      </c>
      <c r="U44" s="43" t="s">
        <v>445</v>
      </c>
      <c r="V44" s="34">
        <f t="shared" si="0"/>
        <v>45920.375</v>
      </c>
      <c r="W44" s="471">
        <f t="shared" si="1"/>
        <v>45920.333333333328</v>
      </c>
      <c r="X44" s="35">
        <f t="shared" si="2"/>
        <v>45920.291666666664</v>
      </c>
    </row>
    <row r="45" spans="1:24" ht="21" customHeight="1" thickBot="1">
      <c r="A45" s="290">
        <v>5</v>
      </c>
      <c r="B45" s="172">
        <v>45920</v>
      </c>
      <c r="C45" s="331">
        <v>45920.416666666664</v>
      </c>
      <c r="D45" s="335">
        <v>45920.625</v>
      </c>
      <c r="E45" s="335">
        <v>45920.708333333336</v>
      </c>
      <c r="F45" s="335">
        <v>45920.75</v>
      </c>
      <c r="G45" s="326">
        <v>45920.916666666664</v>
      </c>
      <c r="H45" s="178" t="s">
        <v>457</v>
      </c>
      <c r="I45" s="175" t="s">
        <v>451</v>
      </c>
      <c r="J45" s="188" t="s">
        <v>5</v>
      </c>
      <c r="K45" s="473"/>
      <c r="L45" s="473"/>
      <c r="M45" s="193" t="s">
        <v>188</v>
      </c>
      <c r="N45" s="458">
        <v>0</v>
      </c>
      <c r="O45" s="470">
        <v>0</v>
      </c>
      <c r="P45" s="470">
        <v>0</v>
      </c>
      <c r="Q45" s="45">
        <v>0</v>
      </c>
      <c r="R45" s="46">
        <v>0</v>
      </c>
      <c r="S45" s="41">
        <v>45865.70045138889</v>
      </c>
      <c r="T45" s="42" t="s">
        <v>41</v>
      </c>
      <c r="U45" s="43" t="s">
        <v>445</v>
      </c>
      <c r="V45" s="34">
        <f t="shared" si="0"/>
        <v>45920.375</v>
      </c>
      <c r="W45" s="471">
        <f t="shared" si="1"/>
        <v>45920.333333333328</v>
      </c>
      <c r="X45" s="35">
        <f t="shared" si="2"/>
        <v>45920.291666666664</v>
      </c>
    </row>
    <row r="46" spans="1:24" ht="21" customHeight="1" thickBot="1">
      <c r="A46" s="290">
        <v>5</v>
      </c>
      <c r="B46" s="172">
        <v>45920</v>
      </c>
      <c r="C46" s="331">
        <v>45920.416666666664</v>
      </c>
      <c r="D46" s="335">
        <v>45920.625</v>
      </c>
      <c r="E46" s="335">
        <v>45920.708333333336</v>
      </c>
      <c r="F46" s="335">
        <v>45920.75</v>
      </c>
      <c r="G46" s="326">
        <v>45920.916666666664</v>
      </c>
      <c r="H46" s="178" t="s">
        <v>340</v>
      </c>
      <c r="I46" s="175" t="s">
        <v>42</v>
      </c>
      <c r="J46" s="188" t="s">
        <v>14</v>
      </c>
      <c r="K46" s="473"/>
      <c r="L46" s="473"/>
      <c r="M46" s="193" t="s">
        <v>7</v>
      </c>
      <c r="N46" s="458">
        <v>0</v>
      </c>
      <c r="O46" s="470">
        <v>0</v>
      </c>
      <c r="P46" s="470">
        <v>0</v>
      </c>
      <c r="Q46" s="45">
        <v>0</v>
      </c>
      <c r="R46" s="46">
        <v>0</v>
      </c>
      <c r="S46" s="41">
        <v>45865.70045138889</v>
      </c>
      <c r="T46" s="42" t="s">
        <v>41</v>
      </c>
      <c r="U46" s="43" t="s">
        <v>445</v>
      </c>
      <c r="V46" s="34">
        <f t="shared" si="0"/>
        <v>45920.375</v>
      </c>
      <c r="W46" s="471">
        <f t="shared" si="1"/>
        <v>45920.333333333328</v>
      </c>
      <c r="X46" s="35">
        <f t="shared" si="2"/>
        <v>45920.291666666664</v>
      </c>
    </row>
    <row r="47" spans="1:24" ht="21" customHeight="1" thickBot="1">
      <c r="A47" s="290">
        <v>5</v>
      </c>
      <c r="B47" s="172">
        <v>45920</v>
      </c>
      <c r="C47" s="331">
        <v>45920.416666666664</v>
      </c>
      <c r="D47" s="335">
        <v>45920.625</v>
      </c>
      <c r="E47" s="335">
        <v>45920.708333333336</v>
      </c>
      <c r="F47" s="335">
        <v>45920.75</v>
      </c>
      <c r="G47" s="326">
        <v>45920.916666666664</v>
      </c>
      <c r="H47" s="178" t="s">
        <v>518</v>
      </c>
      <c r="I47" s="175" t="s">
        <v>52</v>
      </c>
      <c r="J47" s="188" t="s">
        <v>15</v>
      </c>
      <c r="K47" s="473"/>
      <c r="L47" s="473"/>
      <c r="M47" s="193" t="s">
        <v>444</v>
      </c>
      <c r="N47" s="458">
        <v>0</v>
      </c>
      <c r="O47" s="470">
        <v>0</v>
      </c>
      <c r="P47" s="470">
        <v>0</v>
      </c>
      <c r="Q47" s="45">
        <v>0</v>
      </c>
      <c r="R47" s="46">
        <v>0</v>
      </c>
      <c r="S47" s="41">
        <v>45865.70045138889</v>
      </c>
      <c r="T47" s="42" t="s">
        <v>41</v>
      </c>
      <c r="U47" s="43" t="s">
        <v>445</v>
      </c>
      <c r="V47" s="34">
        <f t="shared" si="0"/>
        <v>45920.375</v>
      </c>
      <c r="W47" s="471">
        <f t="shared" si="1"/>
        <v>45920.333333333328</v>
      </c>
      <c r="X47" s="35">
        <f t="shared" si="2"/>
        <v>45920.291666666664</v>
      </c>
    </row>
    <row r="48" spans="1:24" ht="21" customHeight="1" thickBot="1">
      <c r="A48" s="290">
        <v>5</v>
      </c>
      <c r="B48" s="172">
        <v>45920</v>
      </c>
      <c r="C48" s="331">
        <v>45920.520833333336</v>
      </c>
      <c r="D48" s="335">
        <v>45920.729166666664</v>
      </c>
      <c r="E48" s="335">
        <v>45920.8125</v>
      </c>
      <c r="F48" s="335">
        <v>45920.854166666664</v>
      </c>
      <c r="G48" s="326">
        <v>45921.020833333336</v>
      </c>
      <c r="H48" s="178" t="s">
        <v>279</v>
      </c>
      <c r="I48" s="175" t="s">
        <v>47</v>
      </c>
      <c r="J48" s="188" t="s">
        <v>11</v>
      </c>
      <c r="K48" s="473"/>
      <c r="L48" s="473"/>
      <c r="M48" s="193" t="s">
        <v>6</v>
      </c>
      <c r="N48" s="458">
        <v>0</v>
      </c>
      <c r="O48" s="470">
        <v>0</v>
      </c>
      <c r="P48" s="470">
        <v>0</v>
      </c>
      <c r="Q48" s="45">
        <v>0</v>
      </c>
      <c r="R48" s="46">
        <v>0</v>
      </c>
      <c r="S48" s="41">
        <v>45865.70045138889</v>
      </c>
      <c r="T48" s="42" t="s">
        <v>41</v>
      </c>
      <c r="U48" s="43" t="s">
        <v>445</v>
      </c>
      <c r="V48" s="34">
        <f t="shared" si="0"/>
        <v>45920.479166666672</v>
      </c>
      <c r="W48" s="471">
        <f t="shared" si="1"/>
        <v>45920.4375</v>
      </c>
      <c r="X48" s="35">
        <f t="shared" si="2"/>
        <v>45920.395833333336</v>
      </c>
    </row>
    <row r="49" spans="1:24" ht="21" customHeight="1" thickBot="1">
      <c r="A49" s="290">
        <v>5</v>
      </c>
      <c r="B49" s="172">
        <v>45920</v>
      </c>
      <c r="C49" s="331">
        <v>45920.625</v>
      </c>
      <c r="D49" s="335">
        <v>45920.833333333336</v>
      </c>
      <c r="E49" s="335">
        <v>45920.916666666664</v>
      </c>
      <c r="F49" s="335">
        <v>45920.958333333336</v>
      </c>
      <c r="G49" s="326">
        <v>45921.125</v>
      </c>
      <c r="H49" s="178" t="s">
        <v>159</v>
      </c>
      <c r="I49" s="175" t="s">
        <v>157</v>
      </c>
      <c r="J49" s="191" t="s">
        <v>108</v>
      </c>
      <c r="K49" s="473"/>
      <c r="L49" s="473"/>
      <c r="M49" s="196" t="s">
        <v>107</v>
      </c>
      <c r="N49" s="458">
        <v>0</v>
      </c>
      <c r="O49" s="470">
        <v>0</v>
      </c>
      <c r="P49" s="470">
        <v>0</v>
      </c>
      <c r="Q49" s="45">
        <v>0</v>
      </c>
      <c r="R49" s="46">
        <v>0</v>
      </c>
      <c r="S49" s="41">
        <v>45865.70045138889</v>
      </c>
      <c r="T49" s="42" t="s">
        <v>41</v>
      </c>
      <c r="U49" s="43" t="s">
        <v>445</v>
      </c>
      <c r="V49" s="34">
        <f t="shared" si="0"/>
        <v>45920.583333333336</v>
      </c>
      <c r="W49" s="471">
        <f t="shared" si="1"/>
        <v>45920.541666666664</v>
      </c>
      <c r="X49" s="35">
        <f t="shared" si="2"/>
        <v>45920.5</v>
      </c>
    </row>
    <row r="50" spans="1:24" ht="21" customHeight="1" thickBot="1">
      <c r="A50" s="290">
        <v>5</v>
      </c>
      <c r="B50" s="172">
        <v>45921</v>
      </c>
      <c r="C50" s="331">
        <v>45921.375</v>
      </c>
      <c r="D50" s="335">
        <v>45921.583333333336</v>
      </c>
      <c r="E50" s="335">
        <v>45921.666666666664</v>
      </c>
      <c r="F50" s="335">
        <v>45921.708333333336</v>
      </c>
      <c r="G50" s="326">
        <v>45921.875</v>
      </c>
      <c r="H50" s="178" t="s">
        <v>458</v>
      </c>
      <c r="I50" s="175" t="s">
        <v>448</v>
      </c>
      <c r="J50" s="190" t="s">
        <v>443</v>
      </c>
      <c r="K50" s="473"/>
      <c r="L50" s="473"/>
      <c r="M50" s="195" t="s">
        <v>2</v>
      </c>
      <c r="N50" s="458">
        <v>0</v>
      </c>
      <c r="O50" s="470">
        <v>0</v>
      </c>
      <c r="P50" s="470">
        <v>0</v>
      </c>
      <c r="Q50" s="45">
        <v>0</v>
      </c>
      <c r="R50" s="46">
        <v>0</v>
      </c>
      <c r="S50" s="41">
        <v>45865.70045138889</v>
      </c>
      <c r="T50" s="42" t="s">
        <v>41</v>
      </c>
      <c r="U50" s="43" t="s">
        <v>445</v>
      </c>
      <c r="V50" s="34">
        <f t="shared" si="0"/>
        <v>45921.333333333336</v>
      </c>
      <c r="W50" s="471">
        <f t="shared" si="1"/>
        <v>45921.291666666664</v>
      </c>
      <c r="X50" s="35">
        <f t="shared" si="2"/>
        <v>45921.25</v>
      </c>
    </row>
    <row r="51" spans="1:24" ht="21" customHeight="1" thickBot="1">
      <c r="A51" s="290">
        <v>5</v>
      </c>
      <c r="B51" s="172">
        <v>45921</v>
      </c>
      <c r="C51" s="331">
        <v>45921.479166666664</v>
      </c>
      <c r="D51" s="335">
        <v>45921.6875</v>
      </c>
      <c r="E51" s="335">
        <v>45921.770833333336</v>
      </c>
      <c r="F51" s="335">
        <v>45921.8125</v>
      </c>
      <c r="G51" s="326">
        <v>45921.979166666664</v>
      </c>
      <c r="H51" s="178" t="s">
        <v>350</v>
      </c>
      <c r="I51" s="175" t="s">
        <v>48</v>
      </c>
      <c r="J51" s="190" t="s">
        <v>1</v>
      </c>
      <c r="K51" s="473"/>
      <c r="L51" s="473"/>
      <c r="M51" s="195" t="s">
        <v>10</v>
      </c>
      <c r="N51" s="458">
        <v>0</v>
      </c>
      <c r="O51" s="470">
        <v>0</v>
      </c>
      <c r="P51" s="470">
        <v>0</v>
      </c>
      <c r="Q51" s="45">
        <v>0</v>
      </c>
      <c r="R51" s="46">
        <v>0</v>
      </c>
      <c r="S51" s="41">
        <v>45865.70045138889</v>
      </c>
      <c r="T51" s="42" t="s">
        <v>41</v>
      </c>
      <c r="U51" s="43" t="s">
        <v>445</v>
      </c>
      <c r="V51" s="34">
        <f t="shared" si="0"/>
        <v>45921.4375</v>
      </c>
      <c r="W51" s="471">
        <f t="shared" si="1"/>
        <v>45921.395833333328</v>
      </c>
      <c r="X51" s="35">
        <f t="shared" si="2"/>
        <v>45921.354166666664</v>
      </c>
    </row>
    <row r="52" spans="1:24" ht="21" customHeight="1" thickBot="1">
      <c r="A52" s="289">
        <v>6</v>
      </c>
      <c r="B52" s="171">
        <v>45927</v>
      </c>
      <c r="C52" s="330">
        <v>45927.3125</v>
      </c>
      <c r="D52" s="334">
        <v>45927.520833333336</v>
      </c>
      <c r="E52" s="334">
        <v>45927.604166666664</v>
      </c>
      <c r="F52" s="334">
        <v>45927.645833333336</v>
      </c>
      <c r="G52" s="325">
        <v>45927.8125</v>
      </c>
      <c r="H52" s="177" t="s">
        <v>412</v>
      </c>
      <c r="I52" s="174" t="s">
        <v>172</v>
      </c>
      <c r="J52" s="199" t="s">
        <v>107</v>
      </c>
      <c r="K52" s="473"/>
      <c r="L52" s="473"/>
      <c r="M52" s="200" t="s">
        <v>11</v>
      </c>
      <c r="N52" s="456">
        <v>0</v>
      </c>
      <c r="O52" s="457">
        <v>0</v>
      </c>
      <c r="P52" s="457">
        <v>0</v>
      </c>
      <c r="Q52" s="39">
        <v>0</v>
      </c>
      <c r="R52" s="40">
        <v>0</v>
      </c>
      <c r="S52" s="36">
        <v>45865.70045138889</v>
      </c>
      <c r="T52" s="37" t="s">
        <v>41</v>
      </c>
      <c r="U52" s="38" t="s">
        <v>445</v>
      </c>
      <c r="V52" s="56">
        <f t="shared" si="0"/>
        <v>45927.270833333336</v>
      </c>
      <c r="W52" s="57">
        <f t="shared" si="1"/>
        <v>45927.229166666664</v>
      </c>
      <c r="X52" s="58">
        <f t="shared" si="2"/>
        <v>45927.1875</v>
      </c>
    </row>
    <row r="53" spans="1:24" ht="21" customHeight="1" thickBot="1">
      <c r="A53" s="290">
        <v>6</v>
      </c>
      <c r="B53" s="172">
        <v>45927</v>
      </c>
      <c r="C53" s="331">
        <v>45927.416666666664</v>
      </c>
      <c r="D53" s="335">
        <v>45927.625</v>
      </c>
      <c r="E53" s="335">
        <v>45927.708333333336</v>
      </c>
      <c r="F53" s="335">
        <v>45927.75</v>
      </c>
      <c r="G53" s="326">
        <v>45927.916666666664</v>
      </c>
      <c r="H53" s="178" t="s">
        <v>170</v>
      </c>
      <c r="I53" s="175" t="s">
        <v>49</v>
      </c>
      <c r="J53" s="188" t="s">
        <v>2</v>
      </c>
      <c r="K53" s="473"/>
      <c r="L53" s="473"/>
      <c r="M53" s="193" t="s">
        <v>108</v>
      </c>
      <c r="N53" s="458">
        <v>0</v>
      </c>
      <c r="O53" s="470">
        <v>0</v>
      </c>
      <c r="P53" s="470">
        <v>0</v>
      </c>
      <c r="Q53" s="45">
        <v>0</v>
      </c>
      <c r="R53" s="46">
        <v>0</v>
      </c>
      <c r="S53" s="41">
        <v>45865.70045138889</v>
      </c>
      <c r="T53" s="42" t="s">
        <v>41</v>
      </c>
      <c r="U53" s="43" t="s">
        <v>445</v>
      </c>
      <c r="V53" s="34">
        <f t="shared" si="0"/>
        <v>45927.375</v>
      </c>
      <c r="W53" s="471">
        <f t="shared" si="1"/>
        <v>45927.333333333328</v>
      </c>
      <c r="X53" s="35">
        <f t="shared" si="2"/>
        <v>45927.291666666664</v>
      </c>
    </row>
    <row r="54" spans="1:24" ht="21" customHeight="1" thickBot="1">
      <c r="A54" s="290">
        <v>6</v>
      </c>
      <c r="B54" s="172">
        <v>45927</v>
      </c>
      <c r="C54" s="331">
        <v>45927.416666666664</v>
      </c>
      <c r="D54" s="335">
        <v>45927.625</v>
      </c>
      <c r="E54" s="335">
        <v>45927.708333333336</v>
      </c>
      <c r="F54" s="335">
        <v>45927.75</v>
      </c>
      <c r="G54" s="326">
        <v>45927.916666666664</v>
      </c>
      <c r="H54" s="178" t="s">
        <v>252</v>
      </c>
      <c r="I54" s="175" t="s">
        <v>51</v>
      </c>
      <c r="J54" s="188" t="s">
        <v>6</v>
      </c>
      <c r="K54" s="473"/>
      <c r="L54" s="473"/>
      <c r="M54" s="193" t="s">
        <v>4</v>
      </c>
      <c r="N54" s="458">
        <v>0</v>
      </c>
      <c r="O54" s="470">
        <v>0</v>
      </c>
      <c r="P54" s="470">
        <v>0</v>
      </c>
      <c r="Q54" s="45">
        <v>0</v>
      </c>
      <c r="R54" s="46">
        <v>0</v>
      </c>
      <c r="S54" s="41">
        <v>45865.70045138889</v>
      </c>
      <c r="T54" s="42" t="s">
        <v>41</v>
      </c>
      <c r="U54" s="43" t="s">
        <v>445</v>
      </c>
      <c r="V54" s="34">
        <f t="shared" si="0"/>
        <v>45927.375</v>
      </c>
      <c r="W54" s="471">
        <f t="shared" si="1"/>
        <v>45927.333333333328</v>
      </c>
      <c r="X54" s="35">
        <f t="shared" si="2"/>
        <v>45927.291666666664</v>
      </c>
    </row>
    <row r="55" spans="1:24" ht="21" customHeight="1" thickBot="1">
      <c r="A55" s="290">
        <v>6</v>
      </c>
      <c r="B55" s="172">
        <v>45927</v>
      </c>
      <c r="C55" s="331">
        <v>45927.416666666664</v>
      </c>
      <c r="D55" s="335">
        <v>45927.625</v>
      </c>
      <c r="E55" s="335">
        <v>45927.708333333336</v>
      </c>
      <c r="F55" s="335">
        <v>45927.75</v>
      </c>
      <c r="G55" s="326">
        <v>45927.916666666664</v>
      </c>
      <c r="H55" s="178" t="s">
        <v>136</v>
      </c>
      <c r="I55" s="175" t="s">
        <v>44</v>
      </c>
      <c r="J55" s="188" t="s">
        <v>7</v>
      </c>
      <c r="K55" s="473"/>
      <c r="L55" s="473"/>
      <c r="M55" s="193" t="s">
        <v>9</v>
      </c>
      <c r="N55" s="458">
        <v>0</v>
      </c>
      <c r="O55" s="470">
        <v>0</v>
      </c>
      <c r="P55" s="470">
        <v>0</v>
      </c>
      <c r="Q55" s="45">
        <v>0</v>
      </c>
      <c r="R55" s="46">
        <v>0</v>
      </c>
      <c r="S55" s="41">
        <v>45865.70045138889</v>
      </c>
      <c r="T55" s="42" t="s">
        <v>41</v>
      </c>
      <c r="U55" s="43" t="s">
        <v>445</v>
      </c>
      <c r="V55" s="34">
        <f t="shared" si="0"/>
        <v>45927.375</v>
      </c>
      <c r="W55" s="471">
        <f t="shared" si="1"/>
        <v>45927.333333333328</v>
      </c>
      <c r="X55" s="35">
        <f t="shared" si="2"/>
        <v>45927.291666666664</v>
      </c>
    </row>
    <row r="56" spans="1:24" ht="21" customHeight="1" thickBot="1">
      <c r="A56" s="290">
        <v>6</v>
      </c>
      <c r="B56" s="172">
        <v>45927</v>
      </c>
      <c r="C56" s="331">
        <v>45927.416666666664</v>
      </c>
      <c r="D56" s="335">
        <v>45927.625</v>
      </c>
      <c r="E56" s="335">
        <v>45927.708333333336</v>
      </c>
      <c r="F56" s="335">
        <v>45927.75</v>
      </c>
      <c r="G56" s="326">
        <v>45927.916666666664</v>
      </c>
      <c r="H56" s="178" t="s">
        <v>519</v>
      </c>
      <c r="I56" s="175" t="s">
        <v>449</v>
      </c>
      <c r="J56" s="190" t="s">
        <v>444</v>
      </c>
      <c r="K56" s="473"/>
      <c r="L56" s="473"/>
      <c r="M56" s="195" t="s">
        <v>3</v>
      </c>
      <c r="N56" s="458">
        <v>0</v>
      </c>
      <c r="O56" s="470">
        <v>0</v>
      </c>
      <c r="P56" s="470">
        <v>0</v>
      </c>
      <c r="Q56" s="45">
        <v>0</v>
      </c>
      <c r="R56" s="46">
        <v>0</v>
      </c>
      <c r="S56" s="41">
        <v>45865.70045138889</v>
      </c>
      <c r="T56" s="42" t="s">
        <v>41</v>
      </c>
      <c r="U56" s="43" t="s">
        <v>445</v>
      </c>
      <c r="V56" s="34">
        <f t="shared" si="0"/>
        <v>45927.375</v>
      </c>
      <c r="W56" s="471">
        <f t="shared" si="1"/>
        <v>45927.333333333328</v>
      </c>
      <c r="X56" s="35">
        <f t="shared" si="2"/>
        <v>45927.291666666664</v>
      </c>
    </row>
    <row r="57" spans="1:24" ht="21" customHeight="1" thickBot="1">
      <c r="A57" s="290">
        <v>6</v>
      </c>
      <c r="B57" s="172">
        <v>45927</v>
      </c>
      <c r="C57" s="331">
        <v>45927.416666666664</v>
      </c>
      <c r="D57" s="335">
        <v>45927.625</v>
      </c>
      <c r="E57" s="335">
        <v>45927.708333333336</v>
      </c>
      <c r="F57" s="335">
        <v>45927.75</v>
      </c>
      <c r="G57" s="326">
        <v>45927.916666666664</v>
      </c>
      <c r="H57" s="178" t="s">
        <v>459</v>
      </c>
      <c r="I57" s="175" t="s">
        <v>50</v>
      </c>
      <c r="J57" s="188" t="s">
        <v>10</v>
      </c>
      <c r="K57" s="473"/>
      <c r="L57" s="473"/>
      <c r="M57" s="193" t="s">
        <v>5</v>
      </c>
      <c r="N57" s="458">
        <v>0</v>
      </c>
      <c r="O57" s="470">
        <v>0</v>
      </c>
      <c r="P57" s="470">
        <v>0</v>
      </c>
      <c r="Q57" s="45">
        <v>0</v>
      </c>
      <c r="R57" s="46">
        <v>0</v>
      </c>
      <c r="S57" s="41">
        <v>45865.70045138889</v>
      </c>
      <c r="T57" s="42" t="s">
        <v>41</v>
      </c>
      <c r="U57" s="43" t="s">
        <v>445</v>
      </c>
      <c r="V57" s="34">
        <f t="shared" si="0"/>
        <v>45927.375</v>
      </c>
      <c r="W57" s="471">
        <f t="shared" si="1"/>
        <v>45927.333333333328</v>
      </c>
      <c r="X57" s="35">
        <f t="shared" si="2"/>
        <v>45927.291666666664</v>
      </c>
    </row>
    <row r="58" spans="1:24" ht="21" customHeight="1" thickBot="1">
      <c r="A58" s="290">
        <v>6</v>
      </c>
      <c r="B58" s="172">
        <v>45927</v>
      </c>
      <c r="C58" s="331">
        <v>45927.520833333336</v>
      </c>
      <c r="D58" s="335">
        <v>45927.729166666664</v>
      </c>
      <c r="E58" s="335">
        <v>45927.8125</v>
      </c>
      <c r="F58" s="335">
        <v>45927.854166666664</v>
      </c>
      <c r="G58" s="326">
        <v>45928.020833333336</v>
      </c>
      <c r="H58" s="178" t="s">
        <v>460</v>
      </c>
      <c r="I58" s="175" t="s">
        <v>158</v>
      </c>
      <c r="J58" s="191" t="s">
        <v>188</v>
      </c>
      <c r="K58" s="473"/>
      <c r="L58" s="473"/>
      <c r="M58" s="196" t="s">
        <v>443</v>
      </c>
      <c r="N58" s="458">
        <v>0</v>
      </c>
      <c r="O58" s="470">
        <v>0</v>
      </c>
      <c r="P58" s="470">
        <v>0</v>
      </c>
      <c r="Q58" s="45">
        <v>0</v>
      </c>
      <c r="R58" s="46">
        <v>0</v>
      </c>
      <c r="S58" s="41">
        <v>45865.70045138889</v>
      </c>
      <c r="T58" s="42" t="s">
        <v>41</v>
      </c>
      <c r="U58" s="43" t="s">
        <v>445</v>
      </c>
      <c r="V58" s="34">
        <f t="shared" si="0"/>
        <v>45927.479166666672</v>
      </c>
      <c r="W58" s="471">
        <f t="shared" si="1"/>
        <v>45927.4375</v>
      </c>
      <c r="X58" s="35">
        <f t="shared" si="2"/>
        <v>45927.395833333336</v>
      </c>
    </row>
    <row r="59" spans="1:24" ht="21" customHeight="1" thickBot="1">
      <c r="A59" s="290">
        <v>6</v>
      </c>
      <c r="B59" s="172">
        <v>45928</v>
      </c>
      <c r="C59" s="331">
        <v>45928.375</v>
      </c>
      <c r="D59" s="335">
        <v>45928.583333333336</v>
      </c>
      <c r="E59" s="335">
        <v>45928.666666666664</v>
      </c>
      <c r="F59" s="335">
        <v>45928.708333333336</v>
      </c>
      <c r="G59" s="326">
        <v>45928.875</v>
      </c>
      <c r="H59" s="178" t="s">
        <v>323</v>
      </c>
      <c r="I59" s="175" t="s">
        <v>45</v>
      </c>
      <c r="J59" s="188" t="s">
        <v>13</v>
      </c>
      <c r="K59" s="473"/>
      <c r="L59" s="473"/>
      <c r="M59" s="193" t="s">
        <v>15</v>
      </c>
      <c r="N59" s="458">
        <v>0</v>
      </c>
      <c r="O59" s="470">
        <v>0</v>
      </c>
      <c r="P59" s="470">
        <v>0</v>
      </c>
      <c r="Q59" s="45">
        <v>0</v>
      </c>
      <c r="R59" s="46">
        <v>0</v>
      </c>
      <c r="S59" s="41">
        <v>45865.70045138889</v>
      </c>
      <c r="T59" s="42" t="s">
        <v>41</v>
      </c>
      <c r="U59" s="43" t="s">
        <v>445</v>
      </c>
      <c r="V59" s="34">
        <f t="shared" si="0"/>
        <v>45928.333333333336</v>
      </c>
      <c r="W59" s="471">
        <f t="shared" si="1"/>
        <v>45928.291666666664</v>
      </c>
      <c r="X59" s="35">
        <f t="shared" si="2"/>
        <v>45928.25</v>
      </c>
    </row>
    <row r="60" spans="1:24" ht="21" customHeight="1" thickBot="1">
      <c r="A60" s="290">
        <v>6</v>
      </c>
      <c r="B60" s="172">
        <v>45928</v>
      </c>
      <c r="C60" s="331">
        <v>45928.479166666664</v>
      </c>
      <c r="D60" s="335">
        <v>45928.6875</v>
      </c>
      <c r="E60" s="335">
        <v>45928.770833333336</v>
      </c>
      <c r="F60" s="335">
        <v>45928.8125</v>
      </c>
      <c r="G60" s="326">
        <v>45928.979166666664</v>
      </c>
      <c r="H60" s="178" t="s">
        <v>273</v>
      </c>
      <c r="I60" s="175" t="s">
        <v>46</v>
      </c>
      <c r="J60" s="191" t="s">
        <v>12</v>
      </c>
      <c r="K60" s="473"/>
      <c r="L60" s="473"/>
      <c r="M60" s="196" t="s">
        <v>1</v>
      </c>
      <c r="N60" s="458">
        <v>0</v>
      </c>
      <c r="O60" s="470">
        <v>0</v>
      </c>
      <c r="P60" s="470">
        <v>0</v>
      </c>
      <c r="Q60" s="45">
        <v>0</v>
      </c>
      <c r="R60" s="46">
        <v>0</v>
      </c>
      <c r="S60" s="41">
        <v>45865.70045138889</v>
      </c>
      <c r="T60" s="42" t="s">
        <v>41</v>
      </c>
      <c r="U60" s="43" t="s">
        <v>445</v>
      </c>
      <c r="V60" s="34">
        <f t="shared" si="0"/>
        <v>45928.4375</v>
      </c>
      <c r="W60" s="471">
        <f t="shared" si="1"/>
        <v>45928.395833333328</v>
      </c>
      <c r="X60" s="35">
        <f t="shared" si="2"/>
        <v>45928.354166666664</v>
      </c>
    </row>
    <row r="61" spans="1:24" ht="21" customHeight="1" thickBot="1">
      <c r="A61" s="290">
        <v>6</v>
      </c>
      <c r="B61" s="172">
        <v>45929</v>
      </c>
      <c r="C61" s="331">
        <v>45929.625</v>
      </c>
      <c r="D61" s="335">
        <v>45929.833333333336</v>
      </c>
      <c r="E61" s="335">
        <v>45929.916666666664</v>
      </c>
      <c r="F61" s="335">
        <v>45929.958333333336</v>
      </c>
      <c r="G61" s="326">
        <v>45930.125</v>
      </c>
      <c r="H61" s="178" t="s">
        <v>381</v>
      </c>
      <c r="I61" s="175" t="s">
        <v>452</v>
      </c>
      <c r="J61" s="188" t="s">
        <v>8</v>
      </c>
      <c r="K61" s="473"/>
      <c r="L61" s="473"/>
      <c r="M61" s="193" t="s">
        <v>14</v>
      </c>
      <c r="N61" s="458">
        <v>0</v>
      </c>
      <c r="O61" s="470">
        <v>0</v>
      </c>
      <c r="P61" s="470">
        <v>0</v>
      </c>
      <c r="Q61" s="45">
        <v>0</v>
      </c>
      <c r="R61" s="46">
        <v>0</v>
      </c>
      <c r="S61" s="41">
        <v>45865.70045138889</v>
      </c>
      <c r="T61" s="42" t="s">
        <v>41</v>
      </c>
      <c r="U61" s="43" t="s">
        <v>445</v>
      </c>
      <c r="V61" s="34">
        <f t="shared" si="0"/>
        <v>45929.583333333336</v>
      </c>
      <c r="W61" s="471">
        <f t="shared" si="1"/>
        <v>45929.541666666664</v>
      </c>
      <c r="X61" s="35">
        <f t="shared" si="2"/>
        <v>45929.5</v>
      </c>
    </row>
    <row r="62" spans="1:24" ht="21" customHeight="1" thickBot="1">
      <c r="A62" s="289">
        <v>7</v>
      </c>
      <c r="B62" s="171">
        <v>45934</v>
      </c>
      <c r="C62" s="330">
        <v>45934.416666666664</v>
      </c>
      <c r="D62" s="334">
        <v>45934.625</v>
      </c>
      <c r="E62" s="334">
        <v>45934.708333333336</v>
      </c>
      <c r="F62" s="334">
        <v>45934.75</v>
      </c>
      <c r="G62" s="325">
        <v>45934.916666666664</v>
      </c>
      <c r="H62" s="177" t="s">
        <v>364</v>
      </c>
      <c r="I62" s="174" t="s">
        <v>48</v>
      </c>
      <c r="J62" s="197" t="s">
        <v>1</v>
      </c>
      <c r="K62" s="473"/>
      <c r="L62" s="473"/>
      <c r="M62" s="198" t="s">
        <v>14</v>
      </c>
      <c r="N62" s="456">
        <v>0</v>
      </c>
      <c r="O62" s="457">
        <v>0</v>
      </c>
      <c r="P62" s="457">
        <v>0</v>
      </c>
      <c r="Q62" s="39">
        <v>0</v>
      </c>
      <c r="R62" s="40">
        <v>0</v>
      </c>
      <c r="S62" s="36">
        <v>45865.70045138889</v>
      </c>
      <c r="T62" s="37" t="s">
        <v>41</v>
      </c>
      <c r="U62" s="38" t="s">
        <v>445</v>
      </c>
      <c r="V62" s="56">
        <f t="shared" si="0"/>
        <v>45934.375</v>
      </c>
      <c r="W62" s="57">
        <f t="shared" si="1"/>
        <v>45934.333333333328</v>
      </c>
      <c r="X62" s="58">
        <f t="shared" si="2"/>
        <v>45934.291666666664</v>
      </c>
    </row>
    <row r="63" spans="1:24" ht="21" customHeight="1" thickBot="1">
      <c r="A63" s="290">
        <v>7</v>
      </c>
      <c r="B63" s="172">
        <v>45934</v>
      </c>
      <c r="C63" s="331">
        <v>45934.416666666664</v>
      </c>
      <c r="D63" s="335">
        <v>45934.625</v>
      </c>
      <c r="E63" s="335">
        <v>45934.708333333336</v>
      </c>
      <c r="F63" s="335">
        <v>45934.75</v>
      </c>
      <c r="G63" s="326">
        <v>45934.916666666664</v>
      </c>
      <c r="H63" s="178" t="s">
        <v>461</v>
      </c>
      <c r="I63" s="175" t="s">
        <v>49</v>
      </c>
      <c r="J63" s="191" t="s">
        <v>2</v>
      </c>
      <c r="K63" s="473"/>
      <c r="L63" s="473"/>
      <c r="M63" s="196" t="s">
        <v>5</v>
      </c>
      <c r="N63" s="458">
        <v>0</v>
      </c>
      <c r="O63" s="470">
        <v>0</v>
      </c>
      <c r="P63" s="470">
        <v>0</v>
      </c>
      <c r="Q63" s="45">
        <v>0</v>
      </c>
      <c r="R63" s="46">
        <v>0</v>
      </c>
      <c r="S63" s="41">
        <v>45865.70045138889</v>
      </c>
      <c r="T63" s="42" t="s">
        <v>41</v>
      </c>
      <c r="U63" s="43" t="s">
        <v>445</v>
      </c>
      <c r="V63" s="34">
        <f t="shared" si="0"/>
        <v>45934.375</v>
      </c>
      <c r="W63" s="471">
        <f t="shared" si="1"/>
        <v>45934.333333333328</v>
      </c>
      <c r="X63" s="35">
        <f t="shared" si="2"/>
        <v>45934.291666666664</v>
      </c>
    </row>
    <row r="64" spans="1:24" ht="21" customHeight="1" thickBot="1">
      <c r="A64" s="290">
        <v>7</v>
      </c>
      <c r="B64" s="172">
        <v>45934</v>
      </c>
      <c r="C64" s="331">
        <v>45934.416666666664</v>
      </c>
      <c r="D64" s="335">
        <v>45934.625</v>
      </c>
      <c r="E64" s="335">
        <v>45934.708333333336</v>
      </c>
      <c r="F64" s="335">
        <v>45934.75</v>
      </c>
      <c r="G64" s="326">
        <v>45934.916666666664</v>
      </c>
      <c r="H64" s="178" t="s">
        <v>394</v>
      </c>
      <c r="I64" s="175" t="s">
        <v>43</v>
      </c>
      <c r="J64" s="188" t="s">
        <v>3</v>
      </c>
      <c r="K64" s="473"/>
      <c r="L64" s="473"/>
      <c r="M64" s="193" t="s">
        <v>108</v>
      </c>
      <c r="N64" s="458">
        <v>0</v>
      </c>
      <c r="O64" s="470">
        <v>0</v>
      </c>
      <c r="P64" s="470">
        <v>0</v>
      </c>
      <c r="Q64" s="45">
        <v>0</v>
      </c>
      <c r="R64" s="46">
        <v>0</v>
      </c>
      <c r="S64" s="41">
        <v>45865.70045138889</v>
      </c>
      <c r="T64" s="42" t="s">
        <v>41</v>
      </c>
      <c r="U64" s="43" t="s">
        <v>445</v>
      </c>
      <c r="V64" s="34">
        <f t="shared" si="0"/>
        <v>45934.375</v>
      </c>
      <c r="W64" s="471">
        <f t="shared" si="1"/>
        <v>45934.333333333328</v>
      </c>
      <c r="X64" s="35">
        <f t="shared" si="2"/>
        <v>45934.291666666664</v>
      </c>
    </row>
    <row r="65" spans="1:24" ht="21" customHeight="1" thickBot="1">
      <c r="A65" s="290">
        <v>7</v>
      </c>
      <c r="B65" s="172">
        <v>45934</v>
      </c>
      <c r="C65" s="331">
        <v>45934.416666666664</v>
      </c>
      <c r="D65" s="335">
        <v>45934.625</v>
      </c>
      <c r="E65" s="335">
        <v>45934.708333333336</v>
      </c>
      <c r="F65" s="335">
        <v>45934.75</v>
      </c>
      <c r="G65" s="326">
        <v>45934.916666666664</v>
      </c>
      <c r="H65" s="178" t="s">
        <v>333</v>
      </c>
      <c r="I65" s="175" t="s">
        <v>172</v>
      </c>
      <c r="J65" s="190" t="s">
        <v>107</v>
      </c>
      <c r="K65" s="473"/>
      <c r="L65" s="473"/>
      <c r="M65" s="195" t="s">
        <v>10</v>
      </c>
      <c r="N65" s="458">
        <v>0</v>
      </c>
      <c r="O65" s="470">
        <v>0</v>
      </c>
      <c r="P65" s="470">
        <v>0</v>
      </c>
      <c r="Q65" s="45">
        <v>0</v>
      </c>
      <c r="R65" s="46">
        <v>0</v>
      </c>
      <c r="S65" s="41">
        <v>45865.70045138889</v>
      </c>
      <c r="T65" s="42" t="s">
        <v>41</v>
      </c>
      <c r="U65" s="43" t="s">
        <v>445</v>
      </c>
      <c r="V65" s="34">
        <f t="shared" si="0"/>
        <v>45934.375</v>
      </c>
      <c r="W65" s="471">
        <f t="shared" si="1"/>
        <v>45934.333333333328</v>
      </c>
      <c r="X65" s="35">
        <f t="shared" si="2"/>
        <v>45934.291666666664</v>
      </c>
    </row>
    <row r="66" spans="1:24" ht="21" customHeight="1" thickBot="1">
      <c r="A66" s="290">
        <v>7</v>
      </c>
      <c r="B66" s="172">
        <v>45934</v>
      </c>
      <c r="C66" s="331">
        <v>45934.416666666664</v>
      </c>
      <c r="D66" s="335">
        <v>45934.625</v>
      </c>
      <c r="E66" s="335">
        <v>45934.708333333336</v>
      </c>
      <c r="F66" s="335">
        <v>45934.75</v>
      </c>
      <c r="G66" s="326">
        <v>45934.916666666664</v>
      </c>
      <c r="H66" s="178" t="s">
        <v>134</v>
      </c>
      <c r="I66" s="175" t="s">
        <v>51</v>
      </c>
      <c r="J66" s="191" t="s">
        <v>6</v>
      </c>
      <c r="K66" s="473"/>
      <c r="L66" s="473"/>
      <c r="M66" s="196" t="s">
        <v>9</v>
      </c>
      <c r="N66" s="458">
        <v>0</v>
      </c>
      <c r="O66" s="470">
        <v>0</v>
      </c>
      <c r="P66" s="470">
        <v>0</v>
      </c>
      <c r="Q66" s="45">
        <v>0</v>
      </c>
      <c r="R66" s="46">
        <v>0</v>
      </c>
      <c r="S66" s="41">
        <v>45865.70045138889</v>
      </c>
      <c r="T66" s="42" t="s">
        <v>41</v>
      </c>
      <c r="U66" s="43" t="s">
        <v>445</v>
      </c>
      <c r="V66" s="34">
        <f t="shared" ref="V66:V129" si="3">IF(C66&lt;&gt;"TBC",C66-1/24,"TBC")</f>
        <v>45934.375</v>
      </c>
      <c r="W66" s="471">
        <f t="shared" ref="W66:W129" si="4">IF(C66&lt;&gt;"TBC",C66-1/12,"TBC")</f>
        <v>45934.333333333328</v>
      </c>
      <c r="X66" s="35">
        <f t="shared" ref="X66:X129" si="5">IF(C66&lt;&gt;"TBC",C66-1/8,"TBC")</f>
        <v>45934.291666666664</v>
      </c>
    </row>
    <row r="67" spans="1:24" ht="21" customHeight="1" thickBot="1">
      <c r="A67" s="290">
        <v>7</v>
      </c>
      <c r="B67" s="172">
        <v>45934</v>
      </c>
      <c r="C67" s="331">
        <v>45934.416666666664</v>
      </c>
      <c r="D67" s="335">
        <v>45934.625</v>
      </c>
      <c r="E67" s="335">
        <v>45934.708333333336</v>
      </c>
      <c r="F67" s="335">
        <v>45934.75</v>
      </c>
      <c r="G67" s="326">
        <v>45934.916666666664</v>
      </c>
      <c r="H67" s="178" t="s">
        <v>147</v>
      </c>
      <c r="I67" s="175" t="s">
        <v>452</v>
      </c>
      <c r="J67" s="191" t="s">
        <v>8</v>
      </c>
      <c r="K67" s="473"/>
      <c r="L67" s="473"/>
      <c r="M67" s="196" t="s">
        <v>7</v>
      </c>
      <c r="N67" s="458">
        <v>0</v>
      </c>
      <c r="O67" s="470">
        <v>0</v>
      </c>
      <c r="P67" s="470">
        <v>0</v>
      </c>
      <c r="Q67" s="45">
        <v>0</v>
      </c>
      <c r="R67" s="46">
        <v>0</v>
      </c>
      <c r="S67" s="41">
        <v>45865.70045138889</v>
      </c>
      <c r="T67" s="42" t="s">
        <v>41</v>
      </c>
      <c r="U67" s="43" t="s">
        <v>445</v>
      </c>
      <c r="V67" s="34">
        <f t="shared" si="3"/>
        <v>45934.375</v>
      </c>
      <c r="W67" s="471">
        <f t="shared" si="4"/>
        <v>45934.333333333328</v>
      </c>
      <c r="X67" s="35">
        <f t="shared" si="5"/>
        <v>45934.291666666664</v>
      </c>
    </row>
    <row r="68" spans="1:24" ht="21" customHeight="1" thickBot="1">
      <c r="A68" s="290">
        <v>7</v>
      </c>
      <c r="B68" s="172">
        <v>45934</v>
      </c>
      <c r="C68" s="331">
        <v>45934.416666666664</v>
      </c>
      <c r="D68" s="335">
        <v>45934.625</v>
      </c>
      <c r="E68" s="335">
        <v>45934.708333333336</v>
      </c>
      <c r="F68" s="335">
        <v>45934.75</v>
      </c>
      <c r="G68" s="326">
        <v>45934.916666666664</v>
      </c>
      <c r="H68" s="178" t="s">
        <v>520</v>
      </c>
      <c r="I68" s="175" t="s">
        <v>449</v>
      </c>
      <c r="J68" s="191" t="s">
        <v>444</v>
      </c>
      <c r="K68" s="473"/>
      <c r="L68" s="473"/>
      <c r="M68" s="196" t="s">
        <v>13</v>
      </c>
      <c r="N68" s="458">
        <v>0</v>
      </c>
      <c r="O68" s="470">
        <v>0</v>
      </c>
      <c r="P68" s="470">
        <v>0</v>
      </c>
      <c r="Q68" s="45">
        <v>0</v>
      </c>
      <c r="R68" s="46">
        <v>0</v>
      </c>
      <c r="S68" s="41">
        <v>45865.70045138889</v>
      </c>
      <c r="T68" s="42" t="s">
        <v>41</v>
      </c>
      <c r="U68" s="43" t="s">
        <v>445</v>
      </c>
      <c r="V68" s="34">
        <f t="shared" si="3"/>
        <v>45934.375</v>
      </c>
      <c r="W68" s="471">
        <f t="shared" si="4"/>
        <v>45934.333333333328</v>
      </c>
      <c r="X68" s="35">
        <f t="shared" si="5"/>
        <v>45934.291666666664</v>
      </c>
    </row>
    <row r="69" spans="1:24" ht="21" customHeight="1" thickBot="1">
      <c r="A69" s="290">
        <v>7</v>
      </c>
      <c r="B69" s="172">
        <v>45934</v>
      </c>
      <c r="C69" s="331">
        <v>45934.416666666664</v>
      </c>
      <c r="D69" s="335">
        <v>45934.625</v>
      </c>
      <c r="E69" s="335">
        <v>45934.708333333336</v>
      </c>
      <c r="F69" s="335">
        <v>45934.75</v>
      </c>
      <c r="G69" s="326">
        <v>45934.916666666664</v>
      </c>
      <c r="H69" s="178" t="s">
        <v>462</v>
      </c>
      <c r="I69" s="175" t="s">
        <v>47</v>
      </c>
      <c r="J69" s="188" t="s">
        <v>11</v>
      </c>
      <c r="K69" s="473"/>
      <c r="L69" s="473"/>
      <c r="M69" s="193" t="s">
        <v>443</v>
      </c>
      <c r="N69" s="458">
        <v>0</v>
      </c>
      <c r="O69" s="470">
        <v>0</v>
      </c>
      <c r="P69" s="470">
        <v>0</v>
      </c>
      <c r="Q69" s="45">
        <v>0</v>
      </c>
      <c r="R69" s="46">
        <v>0</v>
      </c>
      <c r="S69" s="41">
        <v>45865.70045138889</v>
      </c>
      <c r="T69" s="42" t="s">
        <v>41</v>
      </c>
      <c r="U69" s="43" t="s">
        <v>445</v>
      </c>
      <c r="V69" s="34">
        <f t="shared" si="3"/>
        <v>45934.375</v>
      </c>
      <c r="W69" s="471">
        <f t="shared" si="4"/>
        <v>45934.333333333328</v>
      </c>
      <c r="X69" s="35">
        <f t="shared" si="5"/>
        <v>45934.291666666664</v>
      </c>
    </row>
    <row r="70" spans="1:24" ht="21" customHeight="1" thickBot="1">
      <c r="A70" s="290">
        <v>7</v>
      </c>
      <c r="B70" s="172">
        <v>45934</v>
      </c>
      <c r="C70" s="331">
        <v>45934.416666666664</v>
      </c>
      <c r="D70" s="335">
        <v>45934.625</v>
      </c>
      <c r="E70" s="335">
        <v>45934.708333333336</v>
      </c>
      <c r="F70" s="335">
        <v>45934.75</v>
      </c>
      <c r="G70" s="326">
        <v>45934.916666666664</v>
      </c>
      <c r="H70" s="178" t="s">
        <v>368</v>
      </c>
      <c r="I70" s="175" t="s">
        <v>46</v>
      </c>
      <c r="J70" s="191" t="s">
        <v>12</v>
      </c>
      <c r="K70" s="473"/>
      <c r="L70" s="473"/>
      <c r="M70" s="196" t="s">
        <v>188</v>
      </c>
      <c r="N70" s="458">
        <v>0</v>
      </c>
      <c r="O70" s="470">
        <v>0</v>
      </c>
      <c r="P70" s="470">
        <v>0</v>
      </c>
      <c r="Q70" s="45">
        <v>0</v>
      </c>
      <c r="R70" s="46">
        <v>0</v>
      </c>
      <c r="S70" s="41">
        <v>45865.70045138889</v>
      </c>
      <c r="T70" s="42" t="s">
        <v>41</v>
      </c>
      <c r="U70" s="43" t="s">
        <v>445</v>
      </c>
      <c r="V70" s="34">
        <f t="shared" si="3"/>
        <v>45934.375</v>
      </c>
      <c r="W70" s="471">
        <f t="shared" si="4"/>
        <v>45934.333333333328</v>
      </c>
      <c r="X70" s="35">
        <f t="shared" si="5"/>
        <v>45934.291666666664</v>
      </c>
    </row>
    <row r="71" spans="1:24" ht="21" customHeight="1" thickBot="1">
      <c r="A71" s="290">
        <v>7</v>
      </c>
      <c r="B71" s="172">
        <v>45934</v>
      </c>
      <c r="C71" s="331">
        <v>45934.416666666664</v>
      </c>
      <c r="D71" s="335">
        <v>45934.625</v>
      </c>
      <c r="E71" s="335">
        <v>45934.708333333336</v>
      </c>
      <c r="F71" s="335">
        <v>45934.75</v>
      </c>
      <c r="G71" s="326">
        <v>45934.916666666664</v>
      </c>
      <c r="H71" s="178" t="s">
        <v>421</v>
      </c>
      <c r="I71" s="175" t="s">
        <v>52</v>
      </c>
      <c r="J71" s="188" t="s">
        <v>15</v>
      </c>
      <c r="K71" s="473"/>
      <c r="L71" s="473"/>
      <c r="M71" s="193" t="s">
        <v>4</v>
      </c>
      <c r="N71" s="458">
        <v>0</v>
      </c>
      <c r="O71" s="470">
        <v>0</v>
      </c>
      <c r="P71" s="470">
        <v>0</v>
      </c>
      <c r="Q71" s="45">
        <v>0</v>
      </c>
      <c r="R71" s="46">
        <v>0</v>
      </c>
      <c r="S71" s="41">
        <v>45865.70045138889</v>
      </c>
      <c r="T71" s="42" t="s">
        <v>41</v>
      </c>
      <c r="U71" s="43" t="s">
        <v>445</v>
      </c>
      <c r="V71" s="34">
        <f t="shared" si="3"/>
        <v>45934.375</v>
      </c>
      <c r="W71" s="471">
        <f t="shared" si="4"/>
        <v>45934.333333333328</v>
      </c>
      <c r="X71" s="35">
        <f t="shared" si="5"/>
        <v>45934.291666666664</v>
      </c>
    </row>
    <row r="72" spans="1:24" ht="21" customHeight="1" thickBot="1">
      <c r="A72" s="289">
        <v>8</v>
      </c>
      <c r="B72" s="171">
        <v>45948</v>
      </c>
      <c r="C72" s="330">
        <v>45948.416666666664</v>
      </c>
      <c r="D72" s="334">
        <v>45948.625</v>
      </c>
      <c r="E72" s="334">
        <v>45948.708333333336</v>
      </c>
      <c r="F72" s="334">
        <v>45948.75</v>
      </c>
      <c r="G72" s="325">
        <v>45948.916666666664</v>
      </c>
      <c r="H72" s="177" t="s">
        <v>413</v>
      </c>
      <c r="I72" s="174" t="s">
        <v>217</v>
      </c>
      <c r="J72" s="187" t="s">
        <v>4</v>
      </c>
      <c r="K72" s="473"/>
      <c r="L72" s="473"/>
      <c r="M72" s="192" t="s">
        <v>12</v>
      </c>
      <c r="N72" s="456">
        <v>0</v>
      </c>
      <c r="O72" s="457">
        <v>0</v>
      </c>
      <c r="P72" s="457">
        <v>0</v>
      </c>
      <c r="Q72" s="39">
        <v>0</v>
      </c>
      <c r="R72" s="40">
        <v>0</v>
      </c>
      <c r="S72" s="36">
        <v>45865.70045138889</v>
      </c>
      <c r="T72" s="37" t="s">
        <v>41</v>
      </c>
      <c r="U72" s="38" t="s">
        <v>445</v>
      </c>
      <c r="V72" s="56">
        <f t="shared" si="3"/>
        <v>45948.375</v>
      </c>
      <c r="W72" s="57">
        <f t="shared" si="4"/>
        <v>45948.333333333328</v>
      </c>
      <c r="X72" s="58">
        <f t="shared" si="5"/>
        <v>45948.291666666664</v>
      </c>
    </row>
    <row r="73" spans="1:24" ht="21" customHeight="1" thickBot="1">
      <c r="A73" s="290">
        <v>8</v>
      </c>
      <c r="B73" s="172">
        <v>45948</v>
      </c>
      <c r="C73" s="331">
        <v>45948.416666666664</v>
      </c>
      <c r="D73" s="335">
        <v>45948.625</v>
      </c>
      <c r="E73" s="335">
        <v>45948.708333333336</v>
      </c>
      <c r="F73" s="335">
        <v>45948.75</v>
      </c>
      <c r="G73" s="326">
        <v>45948.916666666664</v>
      </c>
      <c r="H73" s="178" t="s">
        <v>521</v>
      </c>
      <c r="I73" s="175" t="s">
        <v>451</v>
      </c>
      <c r="J73" s="190" t="s">
        <v>5</v>
      </c>
      <c r="K73" s="473"/>
      <c r="L73" s="473"/>
      <c r="M73" s="195" t="s">
        <v>444</v>
      </c>
      <c r="N73" s="458">
        <v>0</v>
      </c>
      <c r="O73" s="470">
        <v>0</v>
      </c>
      <c r="P73" s="470">
        <v>0</v>
      </c>
      <c r="Q73" s="45">
        <v>0</v>
      </c>
      <c r="R73" s="46">
        <v>0</v>
      </c>
      <c r="S73" s="41">
        <v>45865.70045138889</v>
      </c>
      <c r="T73" s="42" t="s">
        <v>41</v>
      </c>
      <c r="U73" s="43" t="s">
        <v>445</v>
      </c>
      <c r="V73" s="34">
        <f t="shared" si="3"/>
        <v>45948.375</v>
      </c>
      <c r="W73" s="471">
        <f t="shared" si="4"/>
        <v>45948.333333333328</v>
      </c>
      <c r="X73" s="35">
        <f t="shared" si="5"/>
        <v>45948.291666666664</v>
      </c>
    </row>
    <row r="74" spans="1:24" ht="21" customHeight="1" thickBot="1">
      <c r="A74" s="290">
        <v>8</v>
      </c>
      <c r="B74" s="172">
        <v>45948</v>
      </c>
      <c r="C74" s="331">
        <v>45948.416666666664</v>
      </c>
      <c r="D74" s="335">
        <v>45948.625</v>
      </c>
      <c r="E74" s="335">
        <v>45948.708333333336</v>
      </c>
      <c r="F74" s="335">
        <v>45948.75</v>
      </c>
      <c r="G74" s="326">
        <v>45948.916666666664</v>
      </c>
      <c r="H74" s="178" t="s">
        <v>402</v>
      </c>
      <c r="I74" s="175" t="s">
        <v>44</v>
      </c>
      <c r="J74" s="190" t="s">
        <v>7</v>
      </c>
      <c r="K74" s="473"/>
      <c r="L74" s="473"/>
      <c r="M74" s="195" t="s">
        <v>3</v>
      </c>
      <c r="N74" s="458">
        <v>0</v>
      </c>
      <c r="O74" s="470">
        <v>0</v>
      </c>
      <c r="P74" s="470">
        <v>0</v>
      </c>
      <c r="Q74" s="45">
        <v>0</v>
      </c>
      <c r="R74" s="46">
        <v>0</v>
      </c>
      <c r="S74" s="41">
        <v>45865.70045138889</v>
      </c>
      <c r="T74" s="42" t="s">
        <v>41</v>
      </c>
      <c r="U74" s="43" t="s">
        <v>445</v>
      </c>
      <c r="V74" s="34">
        <f t="shared" si="3"/>
        <v>45948.375</v>
      </c>
      <c r="W74" s="471">
        <f t="shared" si="4"/>
        <v>45948.333333333328</v>
      </c>
      <c r="X74" s="35">
        <f t="shared" si="5"/>
        <v>45948.291666666664</v>
      </c>
    </row>
    <row r="75" spans="1:24" ht="21" customHeight="1" thickBot="1">
      <c r="A75" s="290">
        <v>8</v>
      </c>
      <c r="B75" s="172">
        <v>45948</v>
      </c>
      <c r="C75" s="331">
        <v>45948.416666666664</v>
      </c>
      <c r="D75" s="335">
        <v>45948.625</v>
      </c>
      <c r="E75" s="335">
        <v>45948.708333333336</v>
      </c>
      <c r="F75" s="335">
        <v>45948.75</v>
      </c>
      <c r="G75" s="326">
        <v>45948.916666666664</v>
      </c>
      <c r="H75" s="178" t="s">
        <v>167</v>
      </c>
      <c r="I75" s="175" t="s">
        <v>157</v>
      </c>
      <c r="J75" s="191" t="s">
        <v>108</v>
      </c>
      <c r="K75" s="473"/>
      <c r="L75" s="473"/>
      <c r="M75" s="196" t="s">
        <v>1</v>
      </c>
      <c r="N75" s="458">
        <v>0</v>
      </c>
      <c r="O75" s="470">
        <v>0</v>
      </c>
      <c r="P75" s="470">
        <v>0</v>
      </c>
      <c r="Q75" s="45">
        <v>0</v>
      </c>
      <c r="R75" s="46">
        <v>0</v>
      </c>
      <c r="S75" s="41">
        <v>45865.70045138889</v>
      </c>
      <c r="T75" s="42" t="s">
        <v>41</v>
      </c>
      <c r="U75" s="43" t="s">
        <v>445</v>
      </c>
      <c r="V75" s="34">
        <f t="shared" si="3"/>
        <v>45948.375</v>
      </c>
      <c r="W75" s="471">
        <f t="shared" si="4"/>
        <v>45948.333333333328</v>
      </c>
      <c r="X75" s="35">
        <f t="shared" si="5"/>
        <v>45948.291666666664</v>
      </c>
    </row>
    <row r="76" spans="1:24" ht="21" customHeight="1" thickBot="1">
      <c r="A76" s="290">
        <v>8</v>
      </c>
      <c r="B76" s="172">
        <v>45948</v>
      </c>
      <c r="C76" s="331">
        <v>45948.416666666664</v>
      </c>
      <c r="D76" s="335">
        <v>45948.625</v>
      </c>
      <c r="E76" s="335">
        <v>45948.708333333336</v>
      </c>
      <c r="F76" s="335">
        <v>45948.75</v>
      </c>
      <c r="G76" s="326">
        <v>45948.916666666664</v>
      </c>
      <c r="H76" s="178" t="s">
        <v>331</v>
      </c>
      <c r="I76" s="175" t="s">
        <v>40</v>
      </c>
      <c r="J76" s="190" t="s">
        <v>9</v>
      </c>
      <c r="K76" s="473"/>
      <c r="L76" s="473"/>
      <c r="M76" s="195" t="s">
        <v>11</v>
      </c>
      <c r="N76" s="458">
        <v>0</v>
      </c>
      <c r="O76" s="470">
        <v>0</v>
      </c>
      <c r="P76" s="470">
        <v>0</v>
      </c>
      <c r="Q76" s="45">
        <v>0</v>
      </c>
      <c r="R76" s="46">
        <v>0</v>
      </c>
      <c r="S76" s="41">
        <v>45865.70045138889</v>
      </c>
      <c r="T76" s="42" t="s">
        <v>41</v>
      </c>
      <c r="U76" s="43" t="s">
        <v>445</v>
      </c>
      <c r="V76" s="34">
        <f t="shared" si="3"/>
        <v>45948.375</v>
      </c>
      <c r="W76" s="471">
        <f t="shared" si="4"/>
        <v>45948.333333333328</v>
      </c>
      <c r="X76" s="35">
        <f t="shared" si="5"/>
        <v>45948.291666666664</v>
      </c>
    </row>
    <row r="77" spans="1:24" ht="21" customHeight="1" thickBot="1">
      <c r="A77" s="290">
        <v>8</v>
      </c>
      <c r="B77" s="172">
        <v>45948</v>
      </c>
      <c r="C77" s="331">
        <v>45948.416666666664</v>
      </c>
      <c r="D77" s="335">
        <v>45948.625</v>
      </c>
      <c r="E77" s="335">
        <v>45948.708333333336</v>
      </c>
      <c r="F77" s="335">
        <v>45948.75</v>
      </c>
      <c r="G77" s="326">
        <v>45948.916666666664</v>
      </c>
      <c r="H77" s="178" t="s">
        <v>315</v>
      </c>
      <c r="I77" s="175" t="s">
        <v>50</v>
      </c>
      <c r="J77" s="188" t="s">
        <v>10</v>
      </c>
      <c r="K77" s="473"/>
      <c r="L77" s="473"/>
      <c r="M77" s="193" t="s">
        <v>8</v>
      </c>
      <c r="N77" s="458">
        <v>0</v>
      </c>
      <c r="O77" s="470">
        <v>0</v>
      </c>
      <c r="P77" s="470">
        <v>0</v>
      </c>
      <c r="Q77" s="45">
        <v>0</v>
      </c>
      <c r="R77" s="46">
        <v>0</v>
      </c>
      <c r="S77" s="41">
        <v>45865.70045138889</v>
      </c>
      <c r="T77" s="42" t="s">
        <v>41</v>
      </c>
      <c r="U77" s="43" t="s">
        <v>445</v>
      </c>
      <c r="V77" s="34">
        <f t="shared" si="3"/>
        <v>45948.375</v>
      </c>
      <c r="W77" s="471">
        <f t="shared" si="4"/>
        <v>45948.333333333328</v>
      </c>
      <c r="X77" s="35">
        <f t="shared" si="5"/>
        <v>45948.291666666664</v>
      </c>
    </row>
    <row r="78" spans="1:24" ht="21" customHeight="1" thickBot="1">
      <c r="A78" s="290">
        <v>8</v>
      </c>
      <c r="B78" s="172">
        <v>45948</v>
      </c>
      <c r="C78" s="331">
        <v>45948.416666666664</v>
      </c>
      <c r="D78" s="335">
        <v>45948.625</v>
      </c>
      <c r="E78" s="335">
        <v>45948.708333333336</v>
      </c>
      <c r="F78" s="335">
        <v>45948.75</v>
      </c>
      <c r="G78" s="326">
        <v>45948.916666666664</v>
      </c>
      <c r="H78" s="178" t="s">
        <v>432</v>
      </c>
      <c r="I78" s="175" t="s">
        <v>158</v>
      </c>
      <c r="J78" s="190" t="s">
        <v>188</v>
      </c>
      <c r="K78" s="473"/>
      <c r="L78" s="473"/>
      <c r="M78" s="195" t="s">
        <v>6</v>
      </c>
      <c r="N78" s="458">
        <v>0</v>
      </c>
      <c r="O78" s="470">
        <v>0</v>
      </c>
      <c r="P78" s="470">
        <v>0</v>
      </c>
      <c r="Q78" s="45">
        <v>0</v>
      </c>
      <c r="R78" s="46">
        <v>0</v>
      </c>
      <c r="S78" s="41">
        <v>45865.70045138889</v>
      </c>
      <c r="T78" s="42" t="s">
        <v>41</v>
      </c>
      <c r="U78" s="43" t="s">
        <v>445</v>
      </c>
      <c r="V78" s="34">
        <f t="shared" si="3"/>
        <v>45948.375</v>
      </c>
      <c r="W78" s="471">
        <f t="shared" si="4"/>
        <v>45948.333333333328</v>
      </c>
      <c r="X78" s="35">
        <f t="shared" si="5"/>
        <v>45948.291666666664</v>
      </c>
    </row>
    <row r="79" spans="1:24" ht="21" customHeight="1" thickBot="1">
      <c r="A79" s="290">
        <v>8</v>
      </c>
      <c r="B79" s="172">
        <v>45948</v>
      </c>
      <c r="C79" s="331">
        <v>45948.416666666664</v>
      </c>
      <c r="D79" s="335">
        <v>45948.625</v>
      </c>
      <c r="E79" s="335">
        <v>45948.708333333336</v>
      </c>
      <c r="F79" s="335">
        <v>45948.75</v>
      </c>
      <c r="G79" s="326">
        <v>45948.916666666664</v>
      </c>
      <c r="H79" s="178" t="s">
        <v>278</v>
      </c>
      <c r="I79" s="175" t="s">
        <v>45</v>
      </c>
      <c r="J79" s="190" t="s">
        <v>13</v>
      </c>
      <c r="K79" s="473"/>
      <c r="L79" s="473"/>
      <c r="M79" s="195" t="s">
        <v>2</v>
      </c>
      <c r="N79" s="458">
        <v>0</v>
      </c>
      <c r="O79" s="470">
        <v>0</v>
      </c>
      <c r="P79" s="470">
        <v>0</v>
      </c>
      <c r="Q79" s="45">
        <v>0</v>
      </c>
      <c r="R79" s="46">
        <v>0</v>
      </c>
      <c r="S79" s="41">
        <v>45865.70045138889</v>
      </c>
      <c r="T79" s="42" t="s">
        <v>41</v>
      </c>
      <c r="U79" s="43" t="s">
        <v>445</v>
      </c>
      <c r="V79" s="34">
        <f t="shared" si="3"/>
        <v>45948.375</v>
      </c>
      <c r="W79" s="471">
        <f t="shared" si="4"/>
        <v>45948.333333333328</v>
      </c>
      <c r="X79" s="35">
        <f t="shared" si="5"/>
        <v>45948.291666666664</v>
      </c>
    </row>
    <row r="80" spans="1:24" ht="21" customHeight="1" thickBot="1">
      <c r="A80" s="290">
        <v>8</v>
      </c>
      <c r="B80" s="172">
        <v>45948</v>
      </c>
      <c r="C80" s="331">
        <v>45948.416666666664</v>
      </c>
      <c r="D80" s="335">
        <v>45948.625</v>
      </c>
      <c r="E80" s="335">
        <v>45948.708333333336</v>
      </c>
      <c r="F80" s="335">
        <v>45948.75</v>
      </c>
      <c r="G80" s="326">
        <v>45948.916666666664</v>
      </c>
      <c r="H80" s="178" t="s">
        <v>463</v>
      </c>
      <c r="I80" s="175" t="s">
        <v>448</v>
      </c>
      <c r="J80" s="188" t="s">
        <v>443</v>
      </c>
      <c r="K80" s="473"/>
      <c r="L80" s="473"/>
      <c r="M80" s="193" t="s">
        <v>15</v>
      </c>
      <c r="N80" s="458">
        <v>0</v>
      </c>
      <c r="O80" s="470">
        <v>0</v>
      </c>
      <c r="P80" s="470">
        <v>0</v>
      </c>
      <c r="Q80" s="45">
        <v>0</v>
      </c>
      <c r="R80" s="46">
        <v>0</v>
      </c>
      <c r="S80" s="41">
        <v>45865.70045138889</v>
      </c>
      <c r="T80" s="42" t="s">
        <v>41</v>
      </c>
      <c r="U80" s="43" t="s">
        <v>445</v>
      </c>
      <c r="V80" s="34">
        <f t="shared" si="3"/>
        <v>45948.375</v>
      </c>
      <c r="W80" s="471">
        <f t="shared" si="4"/>
        <v>45948.333333333328</v>
      </c>
      <c r="X80" s="35">
        <f t="shared" si="5"/>
        <v>45948.291666666664</v>
      </c>
    </row>
    <row r="81" spans="1:24" ht="21" customHeight="1" thickBot="1">
      <c r="A81" s="290">
        <v>8</v>
      </c>
      <c r="B81" s="172">
        <v>45948</v>
      </c>
      <c r="C81" s="331">
        <v>45948.416666666664</v>
      </c>
      <c r="D81" s="335">
        <v>45948.625</v>
      </c>
      <c r="E81" s="335">
        <v>45948.708333333336</v>
      </c>
      <c r="F81" s="335">
        <v>45948.75</v>
      </c>
      <c r="G81" s="326">
        <v>45948.916666666664</v>
      </c>
      <c r="H81" s="178" t="s">
        <v>363</v>
      </c>
      <c r="I81" s="175" t="s">
        <v>42</v>
      </c>
      <c r="J81" s="188" t="s">
        <v>14</v>
      </c>
      <c r="K81" s="473"/>
      <c r="L81" s="473"/>
      <c r="M81" s="193" t="s">
        <v>107</v>
      </c>
      <c r="N81" s="458">
        <v>0</v>
      </c>
      <c r="O81" s="470">
        <v>0</v>
      </c>
      <c r="P81" s="470">
        <v>0</v>
      </c>
      <c r="Q81" s="45">
        <v>0</v>
      </c>
      <c r="R81" s="46">
        <v>0</v>
      </c>
      <c r="S81" s="41">
        <v>45865.70045138889</v>
      </c>
      <c r="T81" s="42" t="s">
        <v>41</v>
      </c>
      <c r="U81" s="43" t="s">
        <v>445</v>
      </c>
      <c r="V81" s="34">
        <f t="shared" si="3"/>
        <v>45948.375</v>
      </c>
      <c r="W81" s="471">
        <f t="shared" si="4"/>
        <v>45948.333333333328</v>
      </c>
      <c r="X81" s="35">
        <f t="shared" si="5"/>
        <v>45948.291666666664</v>
      </c>
    </row>
    <row r="82" spans="1:24" ht="21" customHeight="1" thickBot="1">
      <c r="A82" s="289">
        <v>9</v>
      </c>
      <c r="B82" s="171">
        <v>45955</v>
      </c>
      <c r="C82" s="330">
        <v>45955.416666666664</v>
      </c>
      <c r="D82" s="334">
        <v>45955.625</v>
      </c>
      <c r="E82" s="334">
        <v>45955.708333333336</v>
      </c>
      <c r="F82" s="334">
        <v>45955.75</v>
      </c>
      <c r="G82" s="325">
        <v>45955.916666666664</v>
      </c>
      <c r="H82" s="177" t="s">
        <v>121</v>
      </c>
      <c r="I82" s="174" t="s">
        <v>48</v>
      </c>
      <c r="J82" s="187" t="s">
        <v>1</v>
      </c>
      <c r="K82" s="473"/>
      <c r="L82" s="473"/>
      <c r="M82" s="192" t="s">
        <v>7</v>
      </c>
      <c r="N82" s="456">
        <v>0</v>
      </c>
      <c r="O82" s="457">
        <v>0</v>
      </c>
      <c r="P82" s="457">
        <v>0</v>
      </c>
      <c r="Q82" s="39">
        <v>0</v>
      </c>
      <c r="R82" s="40">
        <v>0</v>
      </c>
      <c r="S82" s="36">
        <v>45865.70045138889</v>
      </c>
      <c r="T82" s="37" t="s">
        <v>41</v>
      </c>
      <c r="U82" s="38" t="s">
        <v>445</v>
      </c>
      <c r="V82" s="56">
        <f t="shared" si="3"/>
        <v>45955.375</v>
      </c>
      <c r="W82" s="57">
        <f t="shared" si="4"/>
        <v>45955.333333333328</v>
      </c>
      <c r="X82" s="58">
        <f t="shared" si="5"/>
        <v>45955.291666666664</v>
      </c>
    </row>
    <row r="83" spans="1:24" ht="21" customHeight="1" thickBot="1">
      <c r="A83" s="290">
        <v>9</v>
      </c>
      <c r="B83" s="172">
        <v>45955</v>
      </c>
      <c r="C83" s="331">
        <v>45955.416666666664</v>
      </c>
      <c r="D83" s="335">
        <v>45955.625</v>
      </c>
      <c r="E83" s="335">
        <v>45955.708333333336</v>
      </c>
      <c r="F83" s="335">
        <v>45955.75</v>
      </c>
      <c r="G83" s="326">
        <v>45955.916666666664</v>
      </c>
      <c r="H83" s="178" t="s">
        <v>310</v>
      </c>
      <c r="I83" s="175" t="s">
        <v>49</v>
      </c>
      <c r="J83" s="188" t="s">
        <v>2</v>
      </c>
      <c r="K83" s="473"/>
      <c r="L83" s="473"/>
      <c r="M83" s="193" t="s">
        <v>10</v>
      </c>
      <c r="N83" s="458">
        <v>0</v>
      </c>
      <c r="O83" s="470">
        <v>0</v>
      </c>
      <c r="P83" s="470">
        <v>0</v>
      </c>
      <c r="Q83" s="45">
        <v>0</v>
      </c>
      <c r="R83" s="46">
        <v>0</v>
      </c>
      <c r="S83" s="41">
        <v>45865.70045138889</v>
      </c>
      <c r="T83" s="42" t="s">
        <v>41</v>
      </c>
      <c r="U83" s="43" t="s">
        <v>445</v>
      </c>
      <c r="V83" s="34">
        <f t="shared" si="3"/>
        <v>45955.375</v>
      </c>
      <c r="W83" s="471">
        <f t="shared" si="4"/>
        <v>45955.333333333328</v>
      </c>
      <c r="X83" s="35">
        <f t="shared" si="5"/>
        <v>45955.291666666664</v>
      </c>
    </row>
    <row r="84" spans="1:24" ht="21" customHeight="1" thickBot="1">
      <c r="A84" s="290">
        <v>9</v>
      </c>
      <c r="B84" s="172">
        <v>45955</v>
      </c>
      <c r="C84" s="331">
        <v>45955.416666666664</v>
      </c>
      <c r="D84" s="335">
        <v>45955.625</v>
      </c>
      <c r="E84" s="335">
        <v>45955.708333333336</v>
      </c>
      <c r="F84" s="335">
        <v>45955.75</v>
      </c>
      <c r="G84" s="326">
        <v>45955.916666666664</v>
      </c>
      <c r="H84" s="178" t="s">
        <v>344</v>
      </c>
      <c r="I84" s="175" t="s">
        <v>43</v>
      </c>
      <c r="J84" s="191" t="s">
        <v>3</v>
      </c>
      <c r="K84" s="473"/>
      <c r="L84" s="473"/>
      <c r="M84" s="196" t="s">
        <v>188</v>
      </c>
      <c r="N84" s="458">
        <v>0</v>
      </c>
      <c r="O84" s="470">
        <v>0</v>
      </c>
      <c r="P84" s="470">
        <v>0</v>
      </c>
      <c r="Q84" s="45">
        <v>0</v>
      </c>
      <c r="R84" s="46">
        <v>0</v>
      </c>
      <c r="S84" s="41">
        <v>45865.70045138889</v>
      </c>
      <c r="T84" s="42" t="s">
        <v>41</v>
      </c>
      <c r="U84" s="43" t="s">
        <v>445</v>
      </c>
      <c r="V84" s="34">
        <f t="shared" si="3"/>
        <v>45955.375</v>
      </c>
      <c r="W84" s="471">
        <f t="shared" si="4"/>
        <v>45955.333333333328</v>
      </c>
      <c r="X84" s="35">
        <f t="shared" si="5"/>
        <v>45955.291666666664</v>
      </c>
    </row>
    <row r="85" spans="1:24" ht="21" customHeight="1" thickBot="1">
      <c r="A85" s="290">
        <v>9</v>
      </c>
      <c r="B85" s="172">
        <v>45955</v>
      </c>
      <c r="C85" s="331">
        <v>45955.416666666664</v>
      </c>
      <c r="D85" s="335">
        <v>45955.625</v>
      </c>
      <c r="E85" s="335">
        <v>45955.708333333336</v>
      </c>
      <c r="F85" s="335">
        <v>45955.75</v>
      </c>
      <c r="G85" s="326">
        <v>45955.916666666664</v>
      </c>
      <c r="H85" s="178" t="s">
        <v>120</v>
      </c>
      <c r="I85" s="175" t="s">
        <v>172</v>
      </c>
      <c r="J85" s="191" t="s">
        <v>107</v>
      </c>
      <c r="K85" s="473"/>
      <c r="L85" s="473"/>
      <c r="M85" s="196" t="s">
        <v>9</v>
      </c>
      <c r="N85" s="458">
        <v>0</v>
      </c>
      <c r="O85" s="470">
        <v>0</v>
      </c>
      <c r="P85" s="470">
        <v>0</v>
      </c>
      <c r="Q85" s="45">
        <v>0</v>
      </c>
      <c r="R85" s="46">
        <v>0</v>
      </c>
      <c r="S85" s="41">
        <v>45865.70045138889</v>
      </c>
      <c r="T85" s="42" t="s">
        <v>41</v>
      </c>
      <c r="U85" s="43" t="s">
        <v>445</v>
      </c>
      <c r="V85" s="34">
        <f t="shared" si="3"/>
        <v>45955.375</v>
      </c>
      <c r="W85" s="471">
        <f t="shared" si="4"/>
        <v>45955.333333333328</v>
      </c>
      <c r="X85" s="35">
        <f t="shared" si="5"/>
        <v>45955.291666666664</v>
      </c>
    </row>
    <row r="86" spans="1:24" ht="21" customHeight="1" thickBot="1">
      <c r="A86" s="290">
        <v>9</v>
      </c>
      <c r="B86" s="172">
        <v>45955</v>
      </c>
      <c r="C86" s="331">
        <v>45955.416666666664</v>
      </c>
      <c r="D86" s="335">
        <v>45955.625</v>
      </c>
      <c r="E86" s="335">
        <v>45955.708333333336</v>
      </c>
      <c r="F86" s="335">
        <v>45955.75</v>
      </c>
      <c r="G86" s="326">
        <v>45955.916666666664</v>
      </c>
      <c r="H86" s="178" t="s">
        <v>464</v>
      </c>
      <c r="I86" s="175" t="s">
        <v>51</v>
      </c>
      <c r="J86" s="191" t="s">
        <v>6</v>
      </c>
      <c r="K86" s="473"/>
      <c r="L86" s="473"/>
      <c r="M86" s="196" t="s">
        <v>443</v>
      </c>
      <c r="N86" s="458">
        <v>0</v>
      </c>
      <c r="O86" s="470">
        <v>0</v>
      </c>
      <c r="P86" s="470">
        <v>0</v>
      </c>
      <c r="Q86" s="45">
        <v>0</v>
      </c>
      <c r="R86" s="46">
        <v>0</v>
      </c>
      <c r="S86" s="41">
        <v>45865.70045138889</v>
      </c>
      <c r="T86" s="42" t="s">
        <v>41</v>
      </c>
      <c r="U86" s="43" t="s">
        <v>445</v>
      </c>
      <c r="V86" s="34">
        <f t="shared" si="3"/>
        <v>45955.375</v>
      </c>
      <c r="W86" s="471">
        <f t="shared" si="4"/>
        <v>45955.333333333328</v>
      </c>
      <c r="X86" s="35">
        <f t="shared" si="5"/>
        <v>45955.291666666664</v>
      </c>
    </row>
    <row r="87" spans="1:24" ht="21" customHeight="1" thickBot="1">
      <c r="A87" s="290">
        <v>9</v>
      </c>
      <c r="B87" s="172">
        <v>45955</v>
      </c>
      <c r="C87" s="331">
        <v>45955.416666666664</v>
      </c>
      <c r="D87" s="335">
        <v>45955.625</v>
      </c>
      <c r="E87" s="335">
        <v>45955.708333333336</v>
      </c>
      <c r="F87" s="335">
        <v>45955.75</v>
      </c>
      <c r="G87" s="326">
        <v>45955.916666666664</v>
      </c>
      <c r="H87" s="178" t="s">
        <v>341</v>
      </c>
      <c r="I87" s="175" t="s">
        <v>452</v>
      </c>
      <c r="J87" s="188" t="s">
        <v>8</v>
      </c>
      <c r="K87" s="473"/>
      <c r="L87" s="473"/>
      <c r="M87" s="193" t="s">
        <v>13</v>
      </c>
      <c r="N87" s="458">
        <v>0</v>
      </c>
      <c r="O87" s="470">
        <v>0</v>
      </c>
      <c r="P87" s="470">
        <v>0</v>
      </c>
      <c r="Q87" s="45">
        <v>0</v>
      </c>
      <c r="R87" s="46">
        <v>0</v>
      </c>
      <c r="S87" s="41">
        <v>45865.70045138889</v>
      </c>
      <c r="T87" s="42" t="s">
        <v>41</v>
      </c>
      <c r="U87" s="43" t="s">
        <v>445</v>
      </c>
      <c r="V87" s="34">
        <f t="shared" si="3"/>
        <v>45955.375</v>
      </c>
      <c r="W87" s="471">
        <f t="shared" si="4"/>
        <v>45955.333333333328</v>
      </c>
      <c r="X87" s="35">
        <f t="shared" si="5"/>
        <v>45955.291666666664</v>
      </c>
    </row>
    <row r="88" spans="1:24" ht="21" customHeight="1" thickBot="1">
      <c r="A88" s="290">
        <v>9</v>
      </c>
      <c r="B88" s="172">
        <v>45955</v>
      </c>
      <c r="C88" s="331">
        <v>45955.416666666664</v>
      </c>
      <c r="D88" s="335">
        <v>45955.625</v>
      </c>
      <c r="E88" s="335">
        <v>45955.708333333336</v>
      </c>
      <c r="F88" s="335">
        <v>45955.75</v>
      </c>
      <c r="G88" s="326">
        <v>45955.916666666664</v>
      </c>
      <c r="H88" s="178" t="s">
        <v>522</v>
      </c>
      <c r="I88" s="175" t="s">
        <v>449</v>
      </c>
      <c r="J88" s="188" t="s">
        <v>444</v>
      </c>
      <c r="K88" s="473"/>
      <c r="L88" s="473"/>
      <c r="M88" s="193" t="s">
        <v>14</v>
      </c>
      <c r="N88" s="458">
        <v>0</v>
      </c>
      <c r="O88" s="470">
        <v>0</v>
      </c>
      <c r="P88" s="470">
        <v>0</v>
      </c>
      <c r="Q88" s="45">
        <v>0</v>
      </c>
      <c r="R88" s="46">
        <v>0</v>
      </c>
      <c r="S88" s="41">
        <v>45865.70045138889</v>
      </c>
      <c r="T88" s="42" t="s">
        <v>41</v>
      </c>
      <c r="U88" s="43" t="s">
        <v>445</v>
      </c>
      <c r="V88" s="34">
        <f t="shared" si="3"/>
        <v>45955.375</v>
      </c>
      <c r="W88" s="471">
        <f t="shared" si="4"/>
        <v>45955.333333333328</v>
      </c>
      <c r="X88" s="35">
        <f t="shared" si="5"/>
        <v>45955.291666666664</v>
      </c>
    </row>
    <row r="89" spans="1:24" ht="21" customHeight="1" thickBot="1">
      <c r="A89" s="290">
        <v>9</v>
      </c>
      <c r="B89" s="172">
        <v>45955</v>
      </c>
      <c r="C89" s="331">
        <v>45955.416666666664</v>
      </c>
      <c r="D89" s="335">
        <v>45955.625</v>
      </c>
      <c r="E89" s="335">
        <v>45955.708333333336</v>
      </c>
      <c r="F89" s="335">
        <v>45955.75</v>
      </c>
      <c r="G89" s="326">
        <v>45955.916666666664</v>
      </c>
      <c r="H89" s="178" t="s">
        <v>342</v>
      </c>
      <c r="I89" s="175" t="s">
        <v>47</v>
      </c>
      <c r="J89" s="190" t="s">
        <v>11</v>
      </c>
      <c r="K89" s="473"/>
      <c r="L89" s="473"/>
      <c r="M89" s="195" t="s">
        <v>4</v>
      </c>
      <c r="N89" s="458">
        <v>0</v>
      </c>
      <c r="O89" s="470">
        <v>0</v>
      </c>
      <c r="P89" s="470">
        <v>0</v>
      </c>
      <c r="Q89" s="45">
        <v>0</v>
      </c>
      <c r="R89" s="46">
        <v>0</v>
      </c>
      <c r="S89" s="41">
        <v>45865.70045138889</v>
      </c>
      <c r="T89" s="42" t="s">
        <v>41</v>
      </c>
      <c r="U89" s="43" t="s">
        <v>445</v>
      </c>
      <c r="V89" s="34">
        <f t="shared" si="3"/>
        <v>45955.375</v>
      </c>
      <c r="W89" s="471">
        <f t="shared" si="4"/>
        <v>45955.333333333328</v>
      </c>
      <c r="X89" s="35">
        <f t="shared" si="5"/>
        <v>45955.291666666664</v>
      </c>
    </row>
    <row r="90" spans="1:24" ht="21" customHeight="1" thickBot="1">
      <c r="A90" s="290">
        <v>9</v>
      </c>
      <c r="B90" s="172">
        <v>45955</v>
      </c>
      <c r="C90" s="331">
        <v>45955.416666666664</v>
      </c>
      <c r="D90" s="335">
        <v>45955.625</v>
      </c>
      <c r="E90" s="335">
        <v>45955.708333333336</v>
      </c>
      <c r="F90" s="335">
        <v>45955.75</v>
      </c>
      <c r="G90" s="326">
        <v>45955.916666666664</v>
      </c>
      <c r="H90" s="178" t="s">
        <v>355</v>
      </c>
      <c r="I90" s="175" t="s">
        <v>46</v>
      </c>
      <c r="J90" s="190" t="s">
        <v>12</v>
      </c>
      <c r="K90" s="473"/>
      <c r="L90" s="473"/>
      <c r="M90" s="195" t="s">
        <v>108</v>
      </c>
      <c r="N90" s="458">
        <v>0</v>
      </c>
      <c r="O90" s="470">
        <v>0</v>
      </c>
      <c r="P90" s="470">
        <v>0</v>
      </c>
      <c r="Q90" s="45">
        <v>0</v>
      </c>
      <c r="R90" s="46">
        <v>0</v>
      </c>
      <c r="S90" s="41">
        <v>45865.70045138889</v>
      </c>
      <c r="T90" s="42" t="s">
        <v>41</v>
      </c>
      <c r="U90" s="43" t="s">
        <v>445</v>
      </c>
      <c r="V90" s="34">
        <f t="shared" si="3"/>
        <v>45955.375</v>
      </c>
      <c r="W90" s="471">
        <f t="shared" si="4"/>
        <v>45955.333333333328</v>
      </c>
      <c r="X90" s="35">
        <f t="shared" si="5"/>
        <v>45955.291666666664</v>
      </c>
    </row>
    <row r="91" spans="1:24" ht="21" customHeight="1" thickBot="1">
      <c r="A91" s="290">
        <v>9</v>
      </c>
      <c r="B91" s="172">
        <v>45955</v>
      </c>
      <c r="C91" s="331">
        <v>45955.416666666664</v>
      </c>
      <c r="D91" s="335">
        <v>45955.625</v>
      </c>
      <c r="E91" s="335">
        <v>45955.708333333336</v>
      </c>
      <c r="F91" s="335">
        <v>45955.75</v>
      </c>
      <c r="G91" s="326">
        <v>45955.916666666664</v>
      </c>
      <c r="H91" s="178" t="s">
        <v>465</v>
      </c>
      <c r="I91" s="175" t="s">
        <v>52</v>
      </c>
      <c r="J91" s="190" t="s">
        <v>15</v>
      </c>
      <c r="K91" s="473"/>
      <c r="L91" s="473"/>
      <c r="M91" s="195" t="s">
        <v>5</v>
      </c>
      <c r="N91" s="458">
        <v>0</v>
      </c>
      <c r="O91" s="470">
        <v>0</v>
      </c>
      <c r="P91" s="470">
        <v>0</v>
      </c>
      <c r="Q91" s="45">
        <v>0</v>
      </c>
      <c r="R91" s="46">
        <v>0</v>
      </c>
      <c r="S91" s="41">
        <v>45865.70045138889</v>
      </c>
      <c r="T91" s="42" t="s">
        <v>41</v>
      </c>
      <c r="U91" s="43" t="s">
        <v>445</v>
      </c>
      <c r="V91" s="34">
        <f t="shared" si="3"/>
        <v>45955.375</v>
      </c>
      <c r="W91" s="471">
        <f t="shared" si="4"/>
        <v>45955.333333333328</v>
      </c>
      <c r="X91" s="35">
        <f t="shared" si="5"/>
        <v>45955.291666666664</v>
      </c>
    </row>
    <row r="92" spans="1:24" ht="21" customHeight="1" thickBot="1">
      <c r="A92" s="289">
        <v>10</v>
      </c>
      <c r="B92" s="171">
        <v>45962</v>
      </c>
      <c r="C92" s="330">
        <v>45962.458333333336</v>
      </c>
      <c r="D92" s="334">
        <v>45962.625</v>
      </c>
      <c r="E92" s="334">
        <v>45962.75</v>
      </c>
      <c r="F92" s="334">
        <v>45962.791666666664</v>
      </c>
      <c r="G92" s="325">
        <v>45962.958333333336</v>
      </c>
      <c r="H92" s="177" t="s">
        <v>523</v>
      </c>
      <c r="I92" s="174" t="s">
        <v>217</v>
      </c>
      <c r="J92" s="197" t="s">
        <v>4</v>
      </c>
      <c r="K92" s="473"/>
      <c r="L92" s="473"/>
      <c r="M92" s="198" t="s">
        <v>444</v>
      </c>
      <c r="N92" s="456">
        <v>0</v>
      </c>
      <c r="O92" s="457">
        <v>0</v>
      </c>
      <c r="P92" s="457">
        <v>0</v>
      </c>
      <c r="Q92" s="39">
        <v>0</v>
      </c>
      <c r="R92" s="40">
        <v>0</v>
      </c>
      <c r="S92" s="36">
        <v>45865.70045138889</v>
      </c>
      <c r="T92" s="37" t="s">
        <v>41</v>
      </c>
      <c r="U92" s="38" t="s">
        <v>445</v>
      </c>
      <c r="V92" s="56">
        <f t="shared" si="3"/>
        <v>45962.416666666672</v>
      </c>
      <c r="W92" s="57">
        <f t="shared" si="4"/>
        <v>45962.375</v>
      </c>
      <c r="X92" s="58">
        <f t="shared" si="5"/>
        <v>45962.333333333336</v>
      </c>
    </row>
    <row r="93" spans="1:24" ht="21" customHeight="1" thickBot="1">
      <c r="A93" s="290">
        <v>10</v>
      </c>
      <c r="B93" s="172">
        <v>45962</v>
      </c>
      <c r="C93" s="331">
        <v>45962.458333333336</v>
      </c>
      <c r="D93" s="335">
        <v>45962.625</v>
      </c>
      <c r="E93" s="335">
        <v>45962.75</v>
      </c>
      <c r="F93" s="335">
        <v>45962.791666666664</v>
      </c>
      <c r="G93" s="326">
        <v>45962.958333333336</v>
      </c>
      <c r="H93" s="178" t="s">
        <v>466</v>
      </c>
      <c r="I93" s="175" t="s">
        <v>451</v>
      </c>
      <c r="J93" s="188" t="s">
        <v>5</v>
      </c>
      <c r="K93" s="473"/>
      <c r="L93" s="473"/>
      <c r="M93" s="193" t="s">
        <v>1</v>
      </c>
      <c r="N93" s="458">
        <v>0</v>
      </c>
      <c r="O93" s="470">
        <v>0</v>
      </c>
      <c r="P93" s="470">
        <v>0</v>
      </c>
      <c r="Q93" s="45">
        <v>0</v>
      </c>
      <c r="R93" s="46">
        <v>0</v>
      </c>
      <c r="S93" s="41">
        <v>45865.70045138889</v>
      </c>
      <c r="T93" s="42" t="s">
        <v>41</v>
      </c>
      <c r="U93" s="43" t="s">
        <v>445</v>
      </c>
      <c r="V93" s="34">
        <f t="shared" si="3"/>
        <v>45962.416666666672</v>
      </c>
      <c r="W93" s="471">
        <f t="shared" si="4"/>
        <v>45962.375</v>
      </c>
      <c r="X93" s="35">
        <f t="shared" si="5"/>
        <v>45962.333333333336</v>
      </c>
    </row>
    <row r="94" spans="1:24" ht="21" customHeight="1" thickBot="1">
      <c r="A94" s="290">
        <v>10</v>
      </c>
      <c r="B94" s="172">
        <v>45962</v>
      </c>
      <c r="C94" s="331">
        <v>45962.458333333336</v>
      </c>
      <c r="D94" s="335">
        <v>45962.625</v>
      </c>
      <c r="E94" s="335">
        <v>45962.75</v>
      </c>
      <c r="F94" s="335">
        <v>45962.791666666664</v>
      </c>
      <c r="G94" s="326">
        <v>45962.958333333336</v>
      </c>
      <c r="H94" s="178" t="s">
        <v>113</v>
      </c>
      <c r="I94" s="175" t="s">
        <v>44</v>
      </c>
      <c r="J94" s="188" t="s">
        <v>7</v>
      </c>
      <c r="K94" s="473"/>
      <c r="L94" s="473"/>
      <c r="M94" s="193" t="s">
        <v>107</v>
      </c>
      <c r="N94" s="458">
        <v>0</v>
      </c>
      <c r="O94" s="470">
        <v>0</v>
      </c>
      <c r="P94" s="470">
        <v>0</v>
      </c>
      <c r="Q94" s="45">
        <v>0</v>
      </c>
      <c r="R94" s="46">
        <v>0</v>
      </c>
      <c r="S94" s="41">
        <v>45865.70045138889</v>
      </c>
      <c r="T94" s="42" t="s">
        <v>41</v>
      </c>
      <c r="U94" s="43" t="s">
        <v>445</v>
      </c>
      <c r="V94" s="34">
        <f t="shared" si="3"/>
        <v>45962.416666666672</v>
      </c>
      <c r="W94" s="471">
        <f t="shared" si="4"/>
        <v>45962.375</v>
      </c>
      <c r="X94" s="35">
        <f t="shared" si="5"/>
        <v>45962.333333333336</v>
      </c>
    </row>
    <row r="95" spans="1:24" ht="21" customHeight="1" thickBot="1">
      <c r="A95" s="290">
        <v>10</v>
      </c>
      <c r="B95" s="172">
        <v>45962</v>
      </c>
      <c r="C95" s="331">
        <v>45962.458333333336</v>
      </c>
      <c r="D95" s="335">
        <v>45962.625</v>
      </c>
      <c r="E95" s="335">
        <v>45962.75</v>
      </c>
      <c r="F95" s="335">
        <v>45962.791666666664</v>
      </c>
      <c r="G95" s="326">
        <v>45962.958333333336</v>
      </c>
      <c r="H95" s="178" t="s">
        <v>286</v>
      </c>
      <c r="I95" s="175" t="s">
        <v>157</v>
      </c>
      <c r="J95" s="188" t="s">
        <v>108</v>
      </c>
      <c r="K95" s="473"/>
      <c r="L95" s="473"/>
      <c r="M95" s="193" t="s">
        <v>15</v>
      </c>
      <c r="N95" s="458">
        <v>0</v>
      </c>
      <c r="O95" s="470">
        <v>0</v>
      </c>
      <c r="P95" s="470">
        <v>0</v>
      </c>
      <c r="Q95" s="45">
        <v>0</v>
      </c>
      <c r="R95" s="46">
        <v>0</v>
      </c>
      <c r="S95" s="41">
        <v>45865.70045138889</v>
      </c>
      <c r="T95" s="42" t="s">
        <v>41</v>
      </c>
      <c r="U95" s="43" t="s">
        <v>445</v>
      </c>
      <c r="V95" s="34">
        <f t="shared" si="3"/>
        <v>45962.416666666672</v>
      </c>
      <c r="W95" s="471">
        <f t="shared" si="4"/>
        <v>45962.375</v>
      </c>
      <c r="X95" s="35">
        <f t="shared" si="5"/>
        <v>45962.333333333336</v>
      </c>
    </row>
    <row r="96" spans="1:24" ht="21" customHeight="1" thickBot="1">
      <c r="A96" s="290">
        <v>10</v>
      </c>
      <c r="B96" s="172">
        <v>45962</v>
      </c>
      <c r="C96" s="331">
        <v>45962.458333333336</v>
      </c>
      <c r="D96" s="335">
        <v>45962.625</v>
      </c>
      <c r="E96" s="335">
        <v>45962.75</v>
      </c>
      <c r="F96" s="335">
        <v>45962.791666666664</v>
      </c>
      <c r="G96" s="326">
        <v>45962.958333333336</v>
      </c>
      <c r="H96" s="178" t="s">
        <v>130</v>
      </c>
      <c r="I96" s="175" t="s">
        <v>40</v>
      </c>
      <c r="J96" s="188" t="s">
        <v>9</v>
      </c>
      <c r="K96" s="473"/>
      <c r="L96" s="473"/>
      <c r="M96" s="193" t="s">
        <v>2</v>
      </c>
      <c r="N96" s="458">
        <v>0</v>
      </c>
      <c r="O96" s="470">
        <v>0</v>
      </c>
      <c r="P96" s="470">
        <v>0</v>
      </c>
      <c r="Q96" s="45">
        <v>0</v>
      </c>
      <c r="R96" s="46">
        <v>0</v>
      </c>
      <c r="S96" s="41">
        <v>45865.70045138889</v>
      </c>
      <c r="T96" s="42" t="s">
        <v>41</v>
      </c>
      <c r="U96" s="43" t="s">
        <v>445</v>
      </c>
      <c r="V96" s="34">
        <f t="shared" si="3"/>
        <v>45962.416666666672</v>
      </c>
      <c r="W96" s="471">
        <f t="shared" si="4"/>
        <v>45962.375</v>
      </c>
      <c r="X96" s="35">
        <f t="shared" si="5"/>
        <v>45962.333333333336</v>
      </c>
    </row>
    <row r="97" spans="1:24" ht="21" customHeight="1" thickBot="1">
      <c r="A97" s="290">
        <v>10</v>
      </c>
      <c r="B97" s="172">
        <v>45962</v>
      </c>
      <c r="C97" s="331">
        <v>45962.458333333336</v>
      </c>
      <c r="D97" s="335">
        <v>45962.625</v>
      </c>
      <c r="E97" s="335">
        <v>45962.75</v>
      </c>
      <c r="F97" s="335">
        <v>45962.791666666664</v>
      </c>
      <c r="G97" s="326">
        <v>45962.958333333336</v>
      </c>
      <c r="H97" s="178" t="s">
        <v>427</v>
      </c>
      <c r="I97" s="175" t="s">
        <v>50</v>
      </c>
      <c r="J97" s="191" t="s">
        <v>10</v>
      </c>
      <c r="K97" s="473"/>
      <c r="L97" s="473"/>
      <c r="M97" s="196" t="s">
        <v>3</v>
      </c>
      <c r="N97" s="458">
        <v>0</v>
      </c>
      <c r="O97" s="470">
        <v>0</v>
      </c>
      <c r="P97" s="470">
        <v>0</v>
      </c>
      <c r="Q97" s="45">
        <v>0</v>
      </c>
      <c r="R97" s="46">
        <v>0</v>
      </c>
      <c r="S97" s="41">
        <v>45865.70045138889</v>
      </c>
      <c r="T97" s="42" t="s">
        <v>41</v>
      </c>
      <c r="U97" s="43" t="s">
        <v>445</v>
      </c>
      <c r="V97" s="34">
        <f t="shared" si="3"/>
        <v>45962.416666666672</v>
      </c>
      <c r="W97" s="471">
        <f t="shared" si="4"/>
        <v>45962.375</v>
      </c>
      <c r="X97" s="35">
        <f t="shared" si="5"/>
        <v>45962.333333333336</v>
      </c>
    </row>
    <row r="98" spans="1:24" ht="21" customHeight="1" thickBot="1">
      <c r="A98" s="290">
        <v>10</v>
      </c>
      <c r="B98" s="172">
        <v>45962</v>
      </c>
      <c r="C98" s="331">
        <v>45962.458333333336</v>
      </c>
      <c r="D98" s="335">
        <v>45962.625</v>
      </c>
      <c r="E98" s="335">
        <v>45962.75</v>
      </c>
      <c r="F98" s="335">
        <v>45962.791666666664</v>
      </c>
      <c r="G98" s="326">
        <v>45962.958333333336</v>
      </c>
      <c r="H98" s="178" t="s">
        <v>386</v>
      </c>
      <c r="I98" s="175" t="s">
        <v>158</v>
      </c>
      <c r="J98" s="191" t="s">
        <v>188</v>
      </c>
      <c r="K98" s="473"/>
      <c r="L98" s="473"/>
      <c r="M98" s="196" t="s">
        <v>11</v>
      </c>
      <c r="N98" s="458">
        <v>0</v>
      </c>
      <c r="O98" s="470">
        <v>0</v>
      </c>
      <c r="P98" s="470">
        <v>0</v>
      </c>
      <c r="Q98" s="45">
        <v>0</v>
      </c>
      <c r="R98" s="46">
        <v>0</v>
      </c>
      <c r="S98" s="41">
        <v>45865.70045138889</v>
      </c>
      <c r="T98" s="42" t="s">
        <v>41</v>
      </c>
      <c r="U98" s="43" t="s">
        <v>445</v>
      </c>
      <c r="V98" s="34">
        <f t="shared" si="3"/>
        <v>45962.416666666672</v>
      </c>
      <c r="W98" s="471">
        <f t="shared" si="4"/>
        <v>45962.375</v>
      </c>
      <c r="X98" s="35">
        <f t="shared" si="5"/>
        <v>45962.333333333336</v>
      </c>
    </row>
    <row r="99" spans="1:24" ht="21" customHeight="1" thickBot="1">
      <c r="A99" s="290">
        <v>10</v>
      </c>
      <c r="B99" s="172">
        <v>45962</v>
      </c>
      <c r="C99" s="331">
        <v>45962.458333333336</v>
      </c>
      <c r="D99" s="335">
        <v>45962.625</v>
      </c>
      <c r="E99" s="335">
        <v>45962.75</v>
      </c>
      <c r="F99" s="335">
        <v>45962.791666666664</v>
      </c>
      <c r="G99" s="326">
        <v>45962.958333333336</v>
      </c>
      <c r="H99" s="178" t="s">
        <v>304</v>
      </c>
      <c r="I99" s="175" t="s">
        <v>45</v>
      </c>
      <c r="J99" s="191" t="s">
        <v>13</v>
      </c>
      <c r="K99" s="473"/>
      <c r="L99" s="473"/>
      <c r="M99" s="196" t="s">
        <v>6</v>
      </c>
      <c r="N99" s="458">
        <v>0</v>
      </c>
      <c r="O99" s="470">
        <v>0</v>
      </c>
      <c r="P99" s="470">
        <v>0</v>
      </c>
      <c r="Q99" s="45">
        <v>0</v>
      </c>
      <c r="R99" s="46">
        <v>0</v>
      </c>
      <c r="S99" s="41">
        <v>45865.70045138889</v>
      </c>
      <c r="T99" s="42" t="s">
        <v>41</v>
      </c>
      <c r="U99" s="43" t="s">
        <v>445</v>
      </c>
      <c r="V99" s="34">
        <f t="shared" si="3"/>
        <v>45962.416666666672</v>
      </c>
      <c r="W99" s="471">
        <f t="shared" si="4"/>
        <v>45962.375</v>
      </c>
      <c r="X99" s="35">
        <f t="shared" si="5"/>
        <v>45962.333333333336</v>
      </c>
    </row>
    <row r="100" spans="1:24" ht="21" customHeight="1" thickBot="1">
      <c r="A100" s="290">
        <v>10</v>
      </c>
      <c r="B100" s="172">
        <v>45962</v>
      </c>
      <c r="C100" s="331">
        <v>45962.458333333336</v>
      </c>
      <c r="D100" s="335">
        <v>45962.625</v>
      </c>
      <c r="E100" s="335">
        <v>45962.75</v>
      </c>
      <c r="F100" s="335">
        <v>45962.791666666664</v>
      </c>
      <c r="G100" s="326">
        <v>45962.958333333336</v>
      </c>
      <c r="H100" s="178" t="s">
        <v>467</v>
      </c>
      <c r="I100" s="175" t="s">
        <v>448</v>
      </c>
      <c r="J100" s="188" t="s">
        <v>443</v>
      </c>
      <c r="K100" s="473"/>
      <c r="L100" s="473"/>
      <c r="M100" s="193" t="s">
        <v>8</v>
      </c>
      <c r="N100" s="458">
        <v>0</v>
      </c>
      <c r="O100" s="470">
        <v>0</v>
      </c>
      <c r="P100" s="470">
        <v>0</v>
      </c>
      <c r="Q100" s="45">
        <v>0</v>
      </c>
      <c r="R100" s="46">
        <v>0</v>
      </c>
      <c r="S100" s="41">
        <v>45865.70045138889</v>
      </c>
      <c r="T100" s="42" t="s">
        <v>41</v>
      </c>
      <c r="U100" s="43" t="s">
        <v>445</v>
      </c>
      <c r="V100" s="34">
        <f t="shared" si="3"/>
        <v>45962.416666666672</v>
      </c>
      <c r="W100" s="471">
        <f t="shared" si="4"/>
        <v>45962.375</v>
      </c>
      <c r="X100" s="35">
        <f t="shared" si="5"/>
        <v>45962.333333333336</v>
      </c>
    </row>
    <row r="101" spans="1:24" ht="21" customHeight="1" thickBot="1">
      <c r="A101" s="290">
        <v>10</v>
      </c>
      <c r="B101" s="172">
        <v>45962</v>
      </c>
      <c r="C101" s="331">
        <v>45962.458333333336</v>
      </c>
      <c r="D101" s="335">
        <v>45962.625</v>
      </c>
      <c r="E101" s="335">
        <v>45962.75</v>
      </c>
      <c r="F101" s="335">
        <v>45962.791666666664</v>
      </c>
      <c r="G101" s="326">
        <v>45962.958333333336</v>
      </c>
      <c r="H101" s="178" t="s">
        <v>378</v>
      </c>
      <c r="I101" s="175" t="s">
        <v>42</v>
      </c>
      <c r="J101" s="190" t="s">
        <v>14</v>
      </c>
      <c r="K101" s="473"/>
      <c r="L101" s="473"/>
      <c r="M101" s="195" t="s">
        <v>12</v>
      </c>
      <c r="N101" s="458">
        <v>0</v>
      </c>
      <c r="O101" s="470">
        <v>0</v>
      </c>
      <c r="P101" s="470">
        <v>0</v>
      </c>
      <c r="Q101" s="45">
        <v>0</v>
      </c>
      <c r="R101" s="46">
        <v>0</v>
      </c>
      <c r="S101" s="41">
        <v>45865.70045138889</v>
      </c>
      <c r="T101" s="42" t="s">
        <v>41</v>
      </c>
      <c r="U101" s="43" t="s">
        <v>445</v>
      </c>
      <c r="V101" s="34">
        <f t="shared" si="3"/>
        <v>45962.416666666672</v>
      </c>
      <c r="W101" s="471">
        <f t="shared" si="4"/>
        <v>45962.375</v>
      </c>
      <c r="X101" s="35">
        <f t="shared" si="5"/>
        <v>45962.333333333336</v>
      </c>
    </row>
    <row r="102" spans="1:24" ht="21" customHeight="1" thickBot="1">
      <c r="A102" s="289">
        <v>11</v>
      </c>
      <c r="B102" s="171">
        <v>45969</v>
      </c>
      <c r="C102" s="330">
        <v>45969.416666666664</v>
      </c>
      <c r="D102" s="334">
        <v>45969.625</v>
      </c>
      <c r="E102" s="334">
        <v>45969.75</v>
      </c>
      <c r="F102" s="334">
        <v>45969.791666666664</v>
      </c>
      <c r="G102" s="325">
        <v>45969.958333333336</v>
      </c>
      <c r="H102" s="177" t="s">
        <v>268</v>
      </c>
      <c r="I102" s="174" t="s">
        <v>49</v>
      </c>
      <c r="J102" s="187" t="s">
        <v>2</v>
      </c>
      <c r="K102" s="473"/>
      <c r="L102" s="473"/>
      <c r="M102" s="192" t="s">
        <v>3</v>
      </c>
      <c r="N102" s="456">
        <v>0</v>
      </c>
      <c r="O102" s="457">
        <v>0</v>
      </c>
      <c r="P102" s="457">
        <v>0</v>
      </c>
      <c r="Q102" s="39">
        <v>0</v>
      </c>
      <c r="R102" s="40">
        <v>0</v>
      </c>
      <c r="S102" s="36">
        <v>45865.70045138889</v>
      </c>
      <c r="T102" s="37" t="s">
        <v>41</v>
      </c>
      <c r="U102" s="38" t="s">
        <v>445</v>
      </c>
      <c r="V102" s="56">
        <f t="shared" si="3"/>
        <v>45969.375</v>
      </c>
      <c r="W102" s="57">
        <f t="shared" si="4"/>
        <v>45969.333333333328</v>
      </c>
      <c r="X102" s="58">
        <f t="shared" si="5"/>
        <v>45969.291666666664</v>
      </c>
    </row>
    <row r="103" spans="1:24" ht="21" customHeight="1" thickBot="1">
      <c r="A103" s="290">
        <v>11</v>
      </c>
      <c r="B103" s="172">
        <v>45969</v>
      </c>
      <c r="C103" s="331">
        <v>45969.416666666664</v>
      </c>
      <c r="D103" s="335">
        <v>45969.625</v>
      </c>
      <c r="E103" s="335">
        <v>45969.75</v>
      </c>
      <c r="F103" s="335">
        <v>45969.791666666664</v>
      </c>
      <c r="G103" s="326">
        <v>45969.958333333336</v>
      </c>
      <c r="H103" s="178" t="s">
        <v>301</v>
      </c>
      <c r="I103" s="175" t="s">
        <v>172</v>
      </c>
      <c r="J103" s="191" t="s">
        <v>107</v>
      </c>
      <c r="K103" s="473"/>
      <c r="L103" s="473"/>
      <c r="M103" s="196" t="s">
        <v>12</v>
      </c>
      <c r="N103" s="458">
        <v>0</v>
      </c>
      <c r="O103" s="470">
        <v>0</v>
      </c>
      <c r="P103" s="470">
        <v>0</v>
      </c>
      <c r="Q103" s="45">
        <v>0</v>
      </c>
      <c r="R103" s="46">
        <v>0</v>
      </c>
      <c r="S103" s="41">
        <v>45865.70045138889</v>
      </c>
      <c r="T103" s="42" t="s">
        <v>41</v>
      </c>
      <c r="U103" s="43" t="s">
        <v>445</v>
      </c>
      <c r="V103" s="34">
        <f t="shared" si="3"/>
        <v>45969.375</v>
      </c>
      <c r="W103" s="471">
        <f t="shared" si="4"/>
        <v>45969.333333333328</v>
      </c>
      <c r="X103" s="35">
        <f t="shared" si="5"/>
        <v>45969.291666666664</v>
      </c>
    </row>
    <row r="104" spans="1:24" ht="21" customHeight="1" thickBot="1">
      <c r="A104" s="290">
        <v>11</v>
      </c>
      <c r="B104" s="172">
        <v>45969</v>
      </c>
      <c r="C104" s="331">
        <v>45969.416666666664</v>
      </c>
      <c r="D104" s="335">
        <v>45969.625</v>
      </c>
      <c r="E104" s="335">
        <v>45969.75</v>
      </c>
      <c r="F104" s="335">
        <v>45969.791666666664</v>
      </c>
      <c r="G104" s="326">
        <v>45969.958333333336</v>
      </c>
      <c r="H104" s="178" t="s">
        <v>343</v>
      </c>
      <c r="I104" s="175" t="s">
        <v>51</v>
      </c>
      <c r="J104" s="188" t="s">
        <v>6</v>
      </c>
      <c r="K104" s="473"/>
      <c r="L104" s="473"/>
      <c r="M104" s="193" t="s">
        <v>15</v>
      </c>
      <c r="N104" s="458">
        <v>0</v>
      </c>
      <c r="O104" s="470">
        <v>0</v>
      </c>
      <c r="P104" s="470">
        <v>0</v>
      </c>
      <c r="Q104" s="45">
        <v>0</v>
      </c>
      <c r="R104" s="46">
        <v>0</v>
      </c>
      <c r="S104" s="41">
        <v>45865.70045138889</v>
      </c>
      <c r="T104" s="42" t="s">
        <v>41</v>
      </c>
      <c r="U104" s="43" t="s">
        <v>445</v>
      </c>
      <c r="V104" s="34">
        <f t="shared" si="3"/>
        <v>45969.375</v>
      </c>
      <c r="W104" s="471">
        <f t="shared" si="4"/>
        <v>45969.333333333328</v>
      </c>
      <c r="X104" s="35">
        <f t="shared" si="5"/>
        <v>45969.291666666664</v>
      </c>
    </row>
    <row r="105" spans="1:24" ht="21" customHeight="1" thickBot="1">
      <c r="A105" s="290">
        <v>11</v>
      </c>
      <c r="B105" s="172">
        <v>45969</v>
      </c>
      <c r="C105" s="331">
        <v>45969.416666666664</v>
      </c>
      <c r="D105" s="335">
        <v>45969.625</v>
      </c>
      <c r="E105" s="335">
        <v>45969.75</v>
      </c>
      <c r="F105" s="335">
        <v>45969.791666666664</v>
      </c>
      <c r="G105" s="326">
        <v>45969.958333333336</v>
      </c>
      <c r="H105" s="178" t="s">
        <v>391</v>
      </c>
      <c r="I105" s="175" t="s">
        <v>44</v>
      </c>
      <c r="J105" s="188" t="s">
        <v>7</v>
      </c>
      <c r="K105" s="473"/>
      <c r="L105" s="473"/>
      <c r="M105" s="193" t="s">
        <v>4</v>
      </c>
      <c r="N105" s="458">
        <v>0</v>
      </c>
      <c r="O105" s="470">
        <v>0</v>
      </c>
      <c r="P105" s="470">
        <v>0</v>
      </c>
      <c r="Q105" s="45">
        <v>0</v>
      </c>
      <c r="R105" s="46">
        <v>0</v>
      </c>
      <c r="S105" s="41">
        <v>45865.70045138889</v>
      </c>
      <c r="T105" s="42" t="s">
        <v>41</v>
      </c>
      <c r="U105" s="43" t="s">
        <v>445</v>
      </c>
      <c r="V105" s="34">
        <f t="shared" si="3"/>
        <v>45969.375</v>
      </c>
      <c r="W105" s="471">
        <f t="shared" si="4"/>
        <v>45969.333333333328</v>
      </c>
      <c r="X105" s="35">
        <f t="shared" si="5"/>
        <v>45969.291666666664</v>
      </c>
    </row>
    <row r="106" spans="1:24" ht="21" customHeight="1" thickBot="1">
      <c r="A106" s="290">
        <v>11</v>
      </c>
      <c r="B106" s="172">
        <v>45969</v>
      </c>
      <c r="C106" s="331">
        <v>45969.416666666664</v>
      </c>
      <c r="D106" s="335">
        <v>45969.625</v>
      </c>
      <c r="E106" s="335">
        <v>45969.75</v>
      </c>
      <c r="F106" s="335">
        <v>45969.791666666664</v>
      </c>
      <c r="G106" s="326">
        <v>45969.958333333336</v>
      </c>
      <c r="H106" s="178" t="s">
        <v>169</v>
      </c>
      <c r="I106" s="175" t="s">
        <v>452</v>
      </c>
      <c r="J106" s="191" t="s">
        <v>8</v>
      </c>
      <c r="K106" s="473"/>
      <c r="L106" s="473"/>
      <c r="M106" s="196" t="s">
        <v>108</v>
      </c>
      <c r="N106" s="458">
        <v>0</v>
      </c>
      <c r="O106" s="470">
        <v>0</v>
      </c>
      <c r="P106" s="470">
        <v>0</v>
      </c>
      <c r="Q106" s="45">
        <v>0</v>
      </c>
      <c r="R106" s="46">
        <v>0</v>
      </c>
      <c r="S106" s="41">
        <v>45865.70045138889</v>
      </c>
      <c r="T106" s="42" t="s">
        <v>41</v>
      </c>
      <c r="U106" s="43" t="s">
        <v>445</v>
      </c>
      <c r="V106" s="34">
        <f t="shared" si="3"/>
        <v>45969.375</v>
      </c>
      <c r="W106" s="471">
        <f t="shared" si="4"/>
        <v>45969.333333333328</v>
      </c>
      <c r="X106" s="35">
        <f t="shared" si="5"/>
        <v>45969.291666666664</v>
      </c>
    </row>
    <row r="107" spans="1:24" ht="21" customHeight="1" thickBot="1">
      <c r="A107" s="290">
        <v>11</v>
      </c>
      <c r="B107" s="172">
        <v>45969</v>
      </c>
      <c r="C107" s="331">
        <v>45969.416666666664</v>
      </c>
      <c r="D107" s="335">
        <v>45969.625</v>
      </c>
      <c r="E107" s="335">
        <v>45969.75</v>
      </c>
      <c r="F107" s="335">
        <v>45969.791666666664</v>
      </c>
      <c r="G107" s="326">
        <v>45969.958333333336</v>
      </c>
      <c r="H107" s="178" t="s">
        <v>367</v>
      </c>
      <c r="I107" s="175" t="s">
        <v>50</v>
      </c>
      <c r="J107" s="188" t="s">
        <v>10</v>
      </c>
      <c r="K107" s="473"/>
      <c r="L107" s="473"/>
      <c r="M107" s="193" t="s">
        <v>9</v>
      </c>
      <c r="N107" s="458">
        <v>0</v>
      </c>
      <c r="O107" s="470">
        <v>0</v>
      </c>
      <c r="P107" s="470">
        <v>0</v>
      </c>
      <c r="Q107" s="45">
        <v>0</v>
      </c>
      <c r="R107" s="46">
        <v>0</v>
      </c>
      <c r="S107" s="41">
        <v>45865.70045138889</v>
      </c>
      <c r="T107" s="42" t="s">
        <v>41</v>
      </c>
      <c r="U107" s="43" t="s">
        <v>445</v>
      </c>
      <c r="V107" s="34">
        <f t="shared" si="3"/>
        <v>45969.375</v>
      </c>
      <c r="W107" s="471">
        <f t="shared" si="4"/>
        <v>45969.333333333328</v>
      </c>
      <c r="X107" s="35">
        <f t="shared" si="5"/>
        <v>45969.291666666664</v>
      </c>
    </row>
    <row r="108" spans="1:24" ht="21" customHeight="1" thickBot="1">
      <c r="A108" s="290">
        <v>11</v>
      </c>
      <c r="B108" s="172">
        <v>45969</v>
      </c>
      <c r="C108" s="331">
        <v>45969.416666666664</v>
      </c>
      <c r="D108" s="335">
        <v>45969.625</v>
      </c>
      <c r="E108" s="335">
        <v>45969.75</v>
      </c>
      <c r="F108" s="335">
        <v>45969.791666666664</v>
      </c>
      <c r="G108" s="326">
        <v>45969.958333333336</v>
      </c>
      <c r="H108" s="178" t="s">
        <v>524</v>
      </c>
      <c r="I108" s="175" t="s">
        <v>158</v>
      </c>
      <c r="J108" s="191" t="s">
        <v>188</v>
      </c>
      <c r="K108" s="473"/>
      <c r="L108" s="473"/>
      <c r="M108" s="196" t="s">
        <v>444</v>
      </c>
      <c r="N108" s="458">
        <v>0</v>
      </c>
      <c r="O108" s="470">
        <v>0</v>
      </c>
      <c r="P108" s="470">
        <v>0</v>
      </c>
      <c r="Q108" s="45">
        <v>0</v>
      </c>
      <c r="R108" s="46">
        <v>0</v>
      </c>
      <c r="S108" s="41">
        <v>45865.70045138889</v>
      </c>
      <c r="T108" s="42" t="s">
        <v>41</v>
      </c>
      <c r="U108" s="43" t="s">
        <v>445</v>
      </c>
      <c r="V108" s="34">
        <f t="shared" si="3"/>
        <v>45969.375</v>
      </c>
      <c r="W108" s="471">
        <f t="shared" si="4"/>
        <v>45969.333333333328</v>
      </c>
      <c r="X108" s="35">
        <f t="shared" si="5"/>
        <v>45969.291666666664</v>
      </c>
    </row>
    <row r="109" spans="1:24" ht="21" customHeight="1" thickBot="1">
      <c r="A109" s="290">
        <v>11</v>
      </c>
      <c r="B109" s="172">
        <v>45969</v>
      </c>
      <c r="C109" s="331">
        <v>45969.416666666664</v>
      </c>
      <c r="D109" s="335">
        <v>45969.625</v>
      </c>
      <c r="E109" s="335">
        <v>45969.75</v>
      </c>
      <c r="F109" s="335">
        <v>45969.791666666664</v>
      </c>
      <c r="G109" s="326">
        <v>45969.958333333336</v>
      </c>
      <c r="H109" s="178" t="s">
        <v>362</v>
      </c>
      <c r="I109" s="175" t="s">
        <v>45</v>
      </c>
      <c r="J109" s="191" t="s">
        <v>13</v>
      </c>
      <c r="K109" s="473"/>
      <c r="L109" s="473"/>
      <c r="M109" s="196" t="s">
        <v>11</v>
      </c>
      <c r="N109" s="458">
        <v>0</v>
      </c>
      <c r="O109" s="470">
        <v>0</v>
      </c>
      <c r="P109" s="470">
        <v>0</v>
      </c>
      <c r="Q109" s="45">
        <v>0</v>
      </c>
      <c r="R109" s="46">
        <v>0</v>
      </c>
      <c r="S109" s="41">
        <v>45865.70045138889</v>
      </c>
      <c r="T109" s="42" t="s">
        <v>41</v>
      </c>
      <c r="U109" s="43" t="s">
        <v>445</v>
      </c>
      <c r="V109" s="34">
        <f t="shared" si="3"/>
        <v>45969.375</v>
      </c>
      <c r="W109" s="471">
        <f t="shared" si="4"/>
        <v>45969.333333333328</v>
      </c>
      <c r="X109" s="35">
        <f t="shared" si="5"/>
        <v>45969.291666666664</v>
      </c>
    </row>
    <row r="110" spans="1:24" ht="21" customHeight="1" thickBot="1">
      <c r="A110" s="290">
        <v>11</v>
      </c>
      <c r="B110" s="172">
        <v>45969</v>
      </c>
      <c r="C110" s="331">
        <v>45969.416666666664</v>
      </c>
      <c r="D110" s="335">
        <v>45969.625</v>
      </c>
      <c r="E110" s="335">
        <v>45969.75</v>
      </c>
      <c r="F110" s="335">
        <v>45969.791666666664</v>
      </c>
      <c r="G110" s="326">
        <v>45969.958333333336</v>
      </c>
      <c r="H110" s="178" t="s">
        <v>468</v>
      </c>
      <c r="I110" s="175" t="s">
        <v>448</v>
      </c>
      <c r="J110" s="191" t="s">
        <v>443</v>
      </c>
      <c r="K110" s="473"/>
      <c r="L110" s="473"/>
      <c r="M110" s="196" t="s">
        <v>1</v>
      </c>
      <c r="N110" s="458">
        <v>0</v>
      </c>
      <c r="O110" s="470">
        <v>0</v>
      </c>
      <c r="P110" s="470">
        <v>0</v>
      </c>
      <c r="Q110" s="45">
        <v>0</v>
      </c>
      <c r="R110" s="46">
        <v>0</v>
      </c>
      <c r="S110" s="41">
        <v>45865.70045138889</v>
      </c>
      <c r="T110" s="42" t="s">
        <v>41</v>
      </c>
      <c r="U110" s="43" t="s">
        <v>445</v>
      </c>
      <c r="V110" s="34">
        <f t="shared" si="3"/>
        <v>45969.375</v>
      </c>
      <c r="W110" s="471">
        <f t="shared" si="4"/>
        <v>45969.333333333328</v>
      </c>
      <c r="X110" s="35">
        <f t="shared" si="5"/>
        <v>45969.291666666664</v>
      </c>
    </row>
    <row r="111" spans="1:24" ht="21" customHeight="1" thickBot="1">
      <c r="A111" s="290">
        <v>11</v>
      </c>
      <c r="B111" s="172">
        <v>45969</v>
      </c>
      <c r="C111" s="331">
        <v>45969.416666666664</v>
      </c>
      <c r="D111" s="335">
        <v>45969.625</v>
      </c>
      <c r="E111" s="335">
        <v>45969.75</v>
      </c>
      <c r="F111" s="335">
        <v>45969.791666666664</v>
      </c>
      <c r="G111" s="326">
        <v>45969.958333333336</v>
      </c>
      <c r="H111" s="178" t="s">
        <v>469</v>
      </c>
      <c r="I111" s="175" t="s">
        <v>42</v>
      </c>
      <c r="J111" s="188" t="s">
        <v>14</v>
      </c>
      <c r="K111" s="473"/>
      <c r="L111" s="473"/>
      <c r="M111" s="193" t="s">
        <v>5</v>
      </c>
      <c r="N111" s="458">
        <v>0</v>
      </c>
      <c r="O111" s="470">
        <v>0</v>
      </c>
      <c r="P111" s="470">
        <v>0</v>
      </c>
      <c r="Q111" s="45">
        <v>0</v>
      </c>
      <c r="R111" s="46">
        <v>0</v>
      </c>
      <c r="S111" s="41">
        <v>45865.70045138889</v>
      </c>
      <c r="T111" s="42" t="s">
        <v>41</v>
      </c>
      <c r="U111" s="43" t="s">
        <v>445</v>
      </c>
      <c r="V111" s="34">
        <f t="shared" si="3"/>
        <v>45969.375</v>
      </c>
      <c r="W111" s="471">
        <f t="shared" si="4"/>
        <v>45969.333333333328</v>
      </c>
      <c r="X111" s="35">
        <f t="shared" si="5"/>
        <v>45969.291666666664</v>
      </c>
    </row>
    <row r="112" spans="1:24" ht="21" customHeight="1" thickBot="1">
      <c r="A112" s="289">
        <v>12</v>
      </c>
      <c r="B112" s="171">
        <v>45983</v>
      </c>
      <c r="C112" s="330">
        <v>45983.416666666664</v>
      </c>
      <c r="D112" s="334">
        <v>45983.625</v>
      </c>
      <c r="E112" s="334">
        <v>45983.75</v>
      </c>
      <c r="F112" s="334">
        <v>45983.791666666664</v>
      </c>
      <c r="G112" s="325">
        <v>45983.958333333336</v>
      </c>
      <c r="H112" s="177" t="s">
        <v>338</v>
      </c>
      <c r="I112" s="174" t="s">
        <v>48</v>
      </c>
      <c r="J112" s="197" t="s">
        <v>1</v>
      </c>
      <c r="K112" s="473"/>
      <c r="L112" s="473"/>
      <c r="M112" s="198" t="s">
        <v>13</v>
      </c>
      <c r="N112" s="456">
        <v>0</v>
      </c>
      <c r="O112" s="457">
        <v>0</v>
      </c>
      <c r="P112" s="457">
        <v>0</v>
      </c>
      <c r="Q112" s="39">
        <v>0</v>
      </c>
      <c r="R112" s="40">
        <v>0</v>
      </c>
      <c r="S112" s="36">
        <v>45865.70045138889</v>
      </c>
      <c r="T112" s="37" t="s">
        <v>41</v>
      </c>
      <c r="U112" s="38" t="s">
        <v>445</v>
      </c>
      <c r="V112" s="56">
        <f t="shared" si="3"/>
        <v>45983.375</v>
      </c>
      <c r="W112" s="57">
        <f t="shared" si="4"/>
        <v>45983.333333333328</v>
      </c>
      <c r="X112" s="58">
        <f t="shared" si="5"/>
        <v>45983.291666666664</v>
      </c>
    </row>
    <row r="113" spans="1:24" ht="21" customHeight="1" thickBot="1">
      <c r="A113" s="290">
        <v>12</v>
      </c>
      <c r="B113" s="172">
        <v>45983</v>
      </c>
      <c r="C113" s="331">
        <v>45983.416666666664</v>
      </c>
      <c r="D113" s="335">
        <v>45983.625</v>
      </c>
      <c r="E113" s="335">
        <v>45983.75</v>
      </c>
      <c r="F113" s="335">
        <v>45983.791666666664</v>
      </c>
      <c r="G113" s="326">
        <v>45983.958333333336</v>
      </c>
      <c r="H113" s="178" t="s">
        <v>309</v>
      </c>
      <c r="I113" s="175" t="s">
        <v>43</v>
      </c>
      <c r="J113" s="191" t="s">
        <v>3</v>
      </c>
      <c r="K113" s="473"/>
      <c r="L113" s="473"/>
      <c r="M113" s="196" t="s">
        <v>14</v>
      </c>
      <c r="N113" s="458">
        <v>0</v>
      </c>
      <c r="O113" s="470">
        <v>0</v>
      </c>
      <c r="P113" s="470">
        <v>0</v>
      </c>
      <c r="Q113" s="45">
        <v>0</v>
      </c>
      <c r="R113" s="46">
        <v>0</v>
      </c>
      <c r="S113" s="41">
        <v>45865.70045138889</v>
      </c>
      <c r="T113" s="42" t="s">
        <v>41</v>
      </c>
      <c r="U113" s="43" t="s">
        <v>445</v>
      </c>
      <c r="V113" s="34">
        <f t="shared" si="3"/>
        <v>45983.375</v>
      </c>
      <c r="W113" s="471">
        <f t="shared" si="4"/>
        <v>45983.333333333328</v>
      </c>
      <c r="X113" s="35">
        <f t="shared" si="5"/>
        <v>45983.291666666664</v>
      </c>
    </row>
    <row r="114" spans="1:24" ht="21" customHeight="1" thickBot="1">
      <c r="A114" s="290">
        <v>12</v>
      </c>
      <c r="B114" s="172">
        <v>45983</v>
      </c>
      <c r="C114" s="331">
        <v>45983.416666666664</v>
      </c>
      <c r="D114" s="335">
        <v>45983.625</v>
      </c>
      <c r="E114" s="335">
        <v>45983.75</v>
      </c>
      <c r="F114" s="335">
        <v>45983.791666666664</v>
      </c>
      <c r="G114" s="326">
        <v>45983.958333333336</v>
      </c>
      <c r="H114" s="178" t="s">
        <v>320</v>
      </c>
      <c r="I114" s="175" t="s">
        <v>217</v>
      </c>
      <c r="J114" s="190" t="s">
        <v>4</v>
      </c>
      <c r="K114" s="473"/>
      <c r="L114" s="473"/>
      <c r="M114" s="195" t="s">
        <v>107</v>
      </c>
      <c r="N114" s="458">
        <v>0</v>
      </c>
      <c r="O114" s="470">
        <v>0</v>
      </c>
      <c r="P114" s="470">
        <v>0</v>
      </c>
      <c r="Q114" s="45">
        <v>0</v>
      </c>
      <c r="R114" s="46">
        <v>0</v>
      </c>
      <c r="S114" s="41">
        <v>45865.70045138889</v>
      </c>
      <c r="T114" s="42" t="s">
        <v>41</v>
      </c>
      <c r="U114" s="43" t="s">
        <v>445</v>
      </c>
      <c r="V114" s="34">
        <f t="shared" si="3"/>
        <v>45983.375</v>
      </c>
      <c r="W114" s="471">
        <f t="shared" si="4"/>
        <v>45983.333333333328</v>
      </c>
      <c r="X114" s="35">
        <f t="shared" si="5"/>
        <v>45983.291666666664</v>
      </c>
    </row>
    <row r="115" spans="1:24" ht="21" customHeight="1" thickBot="1">
      <c r="A115" s="290">
        <v>12</v>
      </c>
      <c r="B115" s="172">
        <v>45983</v>
      </c>
      <c r="C115" s="331">
        <v>45983.416666666664</v>
      </c>
      <c r="D115" s="335">
        <v>45983.625</v>
      </c>
      <c r="E115" s="335">
        <v>45983.75</v>
      </c>
      <c r="F115" s="335">
        <v>45983.791666666664</v>
      </c>
      <c r="G115" s="326">
        <v>45983.958333333336</v>
      </c>
      <c r="H115" s="178" t="s">
        <v>470</v>
      </c>
      <c r="I115" s="175" t="s">
        <v>451</v>
      </c>
      <c r="J115" s="188" t="s">
        <v>5</v>
      </c>
      <c r="K115" s="473"/>
      <c r="L115" s="473"/>
      <c r="M115" s="193" t="s">
        <v>6</v>
      </c>
      <c r="N115" s="458">
        <v>0</v>
      </c>
      <c r="O115" s="470">
        <v>0</v>
      </c>
      <c r="P115" s="470">
        <v>0</v>
      </c>
      <c r="Q115" s="45">
        <v>0</v>
      </c>
      <c r="R115" s="46">
        <v>0</v>
      </c>
      <c r="S115" s="41">
        <v>45865.70045138889</v>
      </c>
      <c r="T115" s="42" t="s">
        <v>41</v>
      </c>
      <c r="U115" s="43" t="s">
        <v>445</v>
      </c>
      <c r="V115" s="34">
        <f t="shared" si="3"/>
        <v>45983.375</v>
      </c>
      <c r="W115" s="471">
        <f t="shared" si="4"/>
        <v>45983.333333333328</v>
      </c>
      <c r="X115" s="35">
        <f t="shared" si="5"/>
        <v>45983.291666666664</v>
      </c>
    </row>
    <row r="116" spans="1:24" ht="21" customHeight="1" thickBot="1">
      <c r="A116" s="290">
        <v>12</v>
      </c>
      <c r="B116" s="172">
        <v>45983</v>
      </c>
      <c r="C116" s="331">
        <v>45983.416666666664</v>
      </c>
      <c r="D116" s="335">
        <v>45983.625</v>
      </c>
      <c r="E116" s="335">
        <v>45983.75</v>
      </c>
      <c r="F116" s="335">
        <v>45983.791666666664</v>
      </c>
      <c r="G116" s="326">
        <v>45983.958333333336</v>
      </c>
      <c r="H116" s="178" t="s">
        <v>471</v>
      </c>
      <c r="I116" s="175" t="s">
        <v>157</v>
      </c>
      <c r="J116" s="188" t="s">
        <v>108</v>
      </c>
      <c r="K116" s="473"/>
      <c r="L116" s="473"/>
      <c r="M116" s="193" t="s">
        <v>443</v>
      </c>
      <c r="N116" s="458">
        <v>0</v>
      </c>
      <c r="O116" s="470">
        <v>0</v>
      </c>
      <c r="P116" s="470">
        <v>0</v>
      </c>
      <c r="Q116" s="45">
        <v>0</v>
      </c>
      <c r="R116" s="46">
        <v>0</v>
      </c>
      <c r="S116" s="41">
        <v>45865.70045138889</v>
      </c>
      <c r="T116" s="42" t="s">
        <v>41</v>
      </c>
      <c r="U116" s="43" t="s">
        <v>445</v>
      </c>
      <c r="V116" s="34">
        <f t="shared" si="3"/>
        <v>45983.375</v>
      </c>
      <c r="W116" s="471">
        <f t="shared" si="4"/>
        <v>45983.333333333328</v>
      </c>
      <c r="X116" s="35">
        <f t="shared" si="5"/>
        <v>45983.291666666664</v>
      </c>
    </row>
    <row r="117" spans="1:24" ht="21" customHeight="1" thickBot="1">
      <c r="A117" s="290">
        <v>12</v>
      </c>
      <c r="B117" s="172">
        <v>45983</v>
      </c>
      <c r="C117" s="331">
        <v>45983.416666666664</v>
      </c>
      <c r="D117" s="335">
        <v>45983.625</v>
      </c>
      <c r="E117" s="335">
        <v>45983.75</v>
      </c>
      <c r="F117" s="335">
        <v>45983.791666666664</v>
      </c>
      <c r="G117" s="326">
        <v>45983.958333333336</v>
      </c>
      <c r="H117" s="178" t="s">
        <v>525</v>
      </c>
      <c r="I117" s="175" t="s">
        <v>449</v>
      </c>
      <c r="J117" s="190" t="s">
        <v>444</v>
      </c>
      <c r="K117" s="473"/>
      <c r="L117" s="473"/>
      <c r="M117" s="195" t="s">
        <v>2</v>
      </c>
      <c r="N117" s="458">
        <v>0</v>
      </c>
      <c r="O117" s="470">
        <v>0</v>
      </c>
      <c r="P117" s="470">
        <v>0</v>
      </c>
      <c r="Q117" s="45">
        <v>0</v>
      </c>
      <c r="R117" s="46">
        <v>0</v>
      </c>
      <c r="S117" s="41">
        <v>45865.70045138889</v>
      </c>
      <c r="T117" s="42" t="s">
        <v>41</v>
      </c>
      <c r="U117" s="43" t="s">
        <v>445</v>
      </c>
      <c r="V117" s="34">
        <f t="shared" si="3"/>
        <v>45983.375</v>
      </c>
      <c r="W117" s="471">
        <f t="shared" si="4"/>
        <v>45983.333333333328</v>
      </c>
      <c r="X117" s="35">
        <f t="shared" si="5"/>
        <v>45983.291666666664</v>
      </c>
    </row>
    <row r="118" spans="1:24" ht="21" customHeight="1" thickBot="1">
      <c r="A118" s="290">
        <v>12</v>
      </c>
      <c r="B118" s="172">
        <v>45983</v>
      </c>
      <c r="C118" s="331">
        <v>45983.416666666664</v>
      </c>
      <c r="D118" s="335">
        <v>45983.625</v>
      </c>
      <c r="E118" s="335">
        <v>45983.75</v>
      </c>
      <c r="F118" s="335">
        <v>45983.791666666664</v>
      </c>
      <c r="G118" s="326">
        <v>45983.958333333336</v>
      </c>
      <c r="H118" s="178" t="s">
        <v>237</v>
      </c>
      <c r="I118" s="175" t="s">
        <v>40</v>
      </c>
      <c r="J118" s="188" t="s">
        <v>9</v>
      </c>
      <c r="K118" s="473"/>
      <c r="L118" s="473"/>
      <c r="M118" s="193" t="s">
        <v>188</v>
      </c>
      <c r="N118" s="458">
        <v>0</v>
      </c>
      <c r="O118" s="470">
        <v>0</v>
      </c>
      <c r="P118" s="470">
        <v>0</v>
      </c>
      <c r="Q118" s="45">
        <v>0</v>
      </c>
      <c r="R118" s="46">
        <v>0</v>
      </c>
      <c r="S118" s="41">
        <v>45865.70045138889</v>
      </c>
      <c r="T118" s="42" t="s">
        <v>41</v>
      </c>
      <c r="U118" s="43" t="s">
        <v>445</v>
      </c>
      <c r="V118" s="34">
        <f t="shared" si="3"/>
        <v>45983.375</v>
      </c>
      <c r="W118" s="471">
        <f t="shared" si="4"/>
        <v>45983.333333333328</v>
      </c>
      <c r="X118" s="35">
        <f t="shared" si="5"/>
        <v>45983.291666666664</v>
      </c>
    </row>
    <row r="119" spans="1:24" ht="21" customHeight="1" thickBot="1">
      <c r="A119" s="290">
        <v>12</v>
      </c>
      <c r="B119" s="172">
        <v>45983</v>
      </c>
      <c r="C119" s="331">
        <v>45983.416666666664</v>
      </c>
      <c r="D119" s="335">
        <v>45983.625</v>
      </c>
      <c r="E119" s="335">
        <v>45983.75</v>
      </c>
      <c r="F119" s="335">
        <v>45983.791666666664</v>
      </c>
      <c r="G119" s="326">
        <v>45983.958333333336</v>
      </c>
      <c r="H119" s="178" t="s">
        <v>292</v>
      </c>
      <c r="I119" s="175" t="s">
        <v>47</v>
      </c>
      <c r="J119" s="188" t="s">
        <v>11</v>
      </c>
      <c r="K119" s="473"/>
      <c r="L119" s="473"/>
      <c r="M119" s="193" t="s">
        <v>8</v>
      </c>
      <c r="N119" s="458">
        <v>0</v>
      </c>
      <c r="O119" s="470">
        <v>0</v>
      </c>
      <c r="P119" s="470">
        <v>0</v>
      </c>
      <c r="Q119" s="45">
        <v>0</v>
      </c>
      <c r="R119" s="46">
        <v>0</v>
      </c>
      <c r="S119" s="41">
        <v>45865.70045138889</v>
      </c>
      <c r="T119" s="42" t="s">
        <v>41</v>
      </c>
      <c r="U119" s="43" t="s">
        <v>445</v>
      </c>
      <c r="V119" s="34">
        <f t="shared" si="3"/>
        <v>45983.375</v>
      </c>
      <c r="W119" s="471">
        <f t="shared" si="4"/>
        <v>45983.333333333328</v>
      </c>
      <c r="X119" s="35">
        <f t="shared" si="5"/>
        <v>45983.291666666664</v>
      </c>
    </row>
    <row r="120" spans="1:24" ht="21" customHeight="1" thickBot="1">
      <c r="A120" s="290">
        <v>12</v>
      </c>
      <c r="B120" s="172">
        <v>45983</v>
      </c>
      <c r="C120" s="331">
        <v>45983.416666666664</v>
      </c>
      <c r="D120" s="335">
        <v>45983.625</v>
      </c>
      <c r="E120" s="335">
        <v>45983.75</v>
      </c>
      <c r="F120" s="335">
        <v>45983.791666666664</v>
      </c>
      <c r="G120" s="326">
        <v>45983.958333333336</v>
      </c>
      <c r="H120" s="178" t="s">
        <v>250</v>
      </c>
      <c r="I120" s="175" t="s">
        <v>46</v>
      </c>
      <c r="J120" s="188" t="s">
        <v>12</v>
      </c>
      <c r="K120" s="473"/>
      <c r="L120" s="473"/>
      <c r="M120" s="193" t="s">
        <v>10</v>
      </c>
      <c r="N120" s="458">
        <v>0</v>
      </c>
      <c r="O120" s="470">
        <v>0</v>
      </c>
      <c r="P120" s="470">
        <v>0</v>
      </c>
      <c r="Q120" s="45">
        <v>0</v>
      </c>
      <c r="R120" s="46">
        <v>0</v>
      </c>
      <c r="S120" s="41">
        <v>45865.70045138889</v>
      </c>
      <c r="T120" s="42" t="s">
        <v>41</v>
      </c>
      <c r="U120" s="43" t="s">
        <v>445</v>
      </c>
      <c r="V120" s="34">
        <f t="shared" si="3"/>
        <v>45983.375</v>
      </c>
      <c r="W120" s="471">
        <f t="shared" si="4"/>
        <v>45983.333333333328</v>
      </c>
      <c r="X120" s="35">
        <f t="shared" si="5"/>
        <v>45983.291666666664</v>
      </c>
    </row>
    <row r="121" spans="1:24" ht="21" customHeight="1" thickBot="1">
      <c r="A121" s="290">
        <v>12</v>
      </c>
      <c r="B121" s="172">
        <v>45983</v>
      </c>
      <c r="C121" s="331">
        <v>45983.416666666664</v>
      </c>
      <c r="D121" s="335">
        <v>45983.625</v>
      </c>
      <c r="E121" s="335">
        <v>45983.75</v>
      </c>
      <c r="F121" s="335">
        <v>45983.791666666664</v>
      </c>
      <c r="G121" s="326">
        <v>45983.958333333336</v>
      </c>
      <c r="H121" s="178" t="s">
        <v>277</v>
      </c>
      <c r="I121" s="175" t="s">
        <v>52</v>
      </c>
      <c r="J121" s="191" t="s">
        <v>15</v>
      </c>
      <c r="K121" s="473"/>
      <c r="L121" s="473"/>
      <c r="M121" s="196" t="s">
        <v>7</v>
      </c>
      <c r="N121" s="458">
        <v>0</v>
      </c>
      <c r="O121" s="470">
        <v>0</v>
      </c>
      <c r="P121" s="470">
        <v>0</v>
      </c>
      <c r="Q121" s="45">
        <v>0</v>
      </c>
      <c r="R121" s="46">
        <v>0</v>
      </c>
      <c r="S121" s="41">
        <v>45865.70045138889</v>
      </c>
      <c r="T121" s="42" t="s">
        <v>41</v>
      </c>
      <c r="U121" s="43" t="s">
        <v>445</v>
      </c>
      <c r="V121" s="34">
        <f t="shared" si="3"/>
        <v>45983.375</v>
      </c>
      <c r="W121" s="471">
        <f t="shared" si="4"/>
        <v>45983.333333333328</v>
      </c>
      <c r="X121" s="35">
        <f t="shared" si="5"/>
        <v>45983.291666666664</v>
      </c>
    </row>
    <row r="122" spans="1:24" ht="21" customHeight="1" thickBot="1">
      <c r="A122" s="289">
        <v>13</v>
      </c>
      <c r="B122" s="171">
        <v>45990</v>
      </c>
      <c r="C122" s="330">
        <v>45990.416666666664</v>
      </c>
      <c r="D122" s="334">
        <v>45990.625</v>
      </c>
      <c r="E122" s="334">
        <v>45990.75</v>
      </c>
      <c r="F122" s="334">
        <v>45990.791666666664</v>
      </c>
      <c r="G122" s="325">
        <v>45990.958333333336</v>
      </c>
      <c r="H122" s="177" t="s">
        <v>243</v>
      </c>
      <c r="I122" s="174" t="s">
        <v>49</v>
      </c>
      <c r="J122" s="197" t="s">
        <v>2</v>
      </c>
      <c r="K122" s="473"/>
      <c r="L122" s="473"/>
      <c r="M122" s="198" t="s">
        <v>15</v>
      </c>
      <c r="N122" s="456">
        <v>0</v>
      </c>
      <c r="O122" s="457">
        <v>0</v>
      </c>
      <c r="P122" s="457">
        <v>0</v>
      </c>
      <c r="Q122" s="39">
        <v>0</v>
      </c>
      <c r="R122" s="40">
        <v>0</v>
      </c>
      <c r="S122" s="36">
        <v>45865.70045138889</v>
      </c>
      <c r="T122" s="37" t="s">
        <v>41</v>
      </c>
      <c r="U122" s="38" t="s">
        <v>445</v>
      </c>
      <c r="V122" s="56">
        <f t="shared" si="3"/>
        <v>45990.375</v>
      </c>
      <c r="W122" s="57">
        <f t="shared" si="4"/>
        <v>45990.333333333328</v>
      </c>
      <c r="X122" s="58">
        <f t="shared" si="5"/>
        <v>45990.291666666664</v>
      </c>
    </row>
    <row r="123" spans="1:24" ht="21" customHeight="1" thickBot="1">
      <c r="A123" s="290">
        <v>13</v>
      </c>
      <c r="B123" s="172">
        <v>45990</v>
      </c>
      <c r="C123" s="331">
        <v>45990.416666666664</v>
      </c>
      <c r="D123" s="335">
        <v>45990.625</v>
      </c>
      <c r="E123" s="335">
        <v>45990.75</v>
      </c>
      <c r="F123" s="335">
        <v>45990.791666666664</v>
      </c>
      <c r="G123" s="326">
        <v>45990.958333333336</v>
      </c>
      <c r="H123" s="178" t="s">
        <v>472</v>
      </c>
      <c r="I123" s="175" t="s">
        <v>172</v>
      </c>
      <c r="J123" s="190" t="s">
        <v>107</v>
      </c>
      <c r="K123" s="473"/>
      <c r="L123" s="473"/>
      <c r="M123" s="195" t="s">
        <v>5</v>
      </c>
      <c r="N123" s="458">
        <v>0</v>
      </c>
      <c r="O123" s="470">
        <v>0</v>
      </c>
      <c r="P123" s="470">
        <v>0</v>
      </c>
      <c r="Q123" s="45">
        <v>0</v>
      </c>
      <c r="R123" s="46">
        <v>0</v>
      </c>
      <c r="S123" s="41">
        <v>45865.70045138889</v>
      </c>
      <c r="T123" s="42" t="s">
        <v>41</v>
      </c>
      <c r="U123" s="43" t="s">
        <v>445</v>
      </c>
      <c r="V123" s="34">
        <f t="shared" si="3"/>
        <v>45990.375</v>
      </c>
      <c r="W123" s="471">
        <f t="shared" si="4"/>
        <v>45990.333333333328</v>
      </c>
      <c r="X123" s="35">
        <f t="shared" si="5"/>
        <v>45990.291666666664</v>
      </c>
    </row>
    <row r="124" spans="1:24" ht="21" customHeight="1" thickBot="1">
      <c r="A124" s="290">
        <v>13</v>
      </c>
      <c r="B124" s="172">
        <v>45990</v>
      </c>
      <c r="C124" s="331">
        <v>45990.416666666664</v>
      </c>
      <c r="D124" s="335">
        <v>45990.625</v>
      </c>
      <c r="E124" s="335">
        <v>45990.75</v>
      </c>
      <c r="F124" s="335">
        <v>45990.791666666664</v>
      </c>
      <c r="G124" s="326">
        <v>45990.958333333336</v>
      </c>
      <c r="H124" s="178" t="s">
        <v>139</v>
      </c>
      <c r="I124" s="175" t="s">
        <v>51</v>
      </c>
      <c r="J124" s="190" t="s">
        <v>6</v>
      </c>
      <c r="K124" s="473"/>
      <c r="L124" s="473"/>
      <c r="M124" s="195" t="s">
        <v>1</v>
      </c>
      <c r="N124" s="458">
        <v>0</v>
      </c>
      <c r="O124" s="470">
        <v>0</v>
      </c>
      <c r="P124" s="470">
        <v>0</v>
      </c>
      <c r="Q124" s="45">
        <v>0</v>
      </c>
      <c r="R124" s="46">
        <v>0</v>
      </c>
      <c r="S124" s="41">
        <v>45865.70045138889</v>
      </c>
      <c r="T124" s="42" t="s">
        <v>41</v>
      </c>
      <c r="U124" s="43" t="s">
        <v>445</v>
      </c>
      <c r="V124" s="34">
        <f t="shared" si="3"/>
        <v>45990.375</v>
      </c>
      <c r="W124" s="471">
        <f t="shared" si="4"/>
        <v>45990.333333333328</v>
      </c>
      <c r="X124" s="35">
        <f t="shared" si="5"/>
        <v>45990.291666666664</v>
      </c>
    </row>
    <row r="125" spans="1:24" ht="21" customHeight="1" thickBot="1">
      <c r="A125" s="290">
        <v>13</v>
      </c>
      <c r="B125" s="172">
        <v>45990</v>
      </c>
      <c r="C125" s="331">
        <v>45990.416666666664</v>
      </c>
      <c r="D125" s="335">
        <v>45990.625</v>
      </c>
      <c r="E125" s="335">
        <v>45990.75</v>
      </c>
      <c r="F125" s="335">
        <v>45990.791666666664</v>
      </c>
      <c r="G125" s="326">
        <v>45990.958333333336</v>
      </c>
      <c r="H125" s="178" t="s">
        <v>247</v>
      </c>
      <c r="I125" s="175" t="s">
        <v>44</v>
      </c>
      <c r="J125" s="188" t="s">
        <v>7</v>
      </c>
      <c r="K125" s="473"/>
      <c r="L125" s="473"/>
      <c r="M125" s="193" t="s">
        <v>11</v>
      </c>
      <c r="N125" s="458">
        <v>0</v>
      </c>
      <c r="O125" s="470">
        <v>0</v>
      </c>
      <c r="P125" s="470">
        <v>0</v>
      </c>
      <c r="Q125" s="45">
        <v>0</v>
      </c>
      <c r="R125" s="46">
        <v>0</v>
      </c>
      <c r="S125" s="41">
        <v>45865.70045138889</v>
      </c>
      <c r="T125" s="42" t="s">
        <v>41</v>
      </c>
      <c r="U125" s="43" t="s">
        <v>445</v>
      </c>
      <c r="V125" s="34">
        <f t="shared" si="3"/>
        <v>45990.375</v>
      </c>
      <c r="W125" s="471">
        <f t="shared" si="4"/>
        <v>45990.333333333328</v>
      </c>
      <c r="X125" s="35">
        <f t="shared" si="5"/>
        <v>45990.291666666664</v>
      </c>
    </row>
    <row r="126" spans="1:24" ht="21" customHeight="1" thickBot="1">
      <c r="A126" s="290">
        <v>13</v>
      </c>
      <c r="B126" s="172">
        <v>45990</v>
      </c>
      <c r="C126" s="331">
        <v>45990.416666666664</v>
      </c>
      <c r="D126" s="335">
        <v>45990.625</v>
      </c>
      <c r="E126" s="335">
        <v>45990.75</v>
      </c>
      <c r="F126" s="335">
        <v>45990.791666666664</v>
      </c>
      <c r="G126" s="326">
        <v>45990.958333333336</v>
      </c>
      <c r="H126" s="178" t="s">
        <v>258</v>
      </c>
      <c r="I126" s="175" t="s">
        <v>452</v>
      </c>
      <c r="J126" s="191" t="s">
        <v>8</v>
      </c>
      <c r="K126" s="473"/>
      <c r="L126" s="473"/>
      <c r="M126" s="196" t="s">
        <v>12</v>
      </c>
      <c r="N126" s="458">
        <v>0</v>
      </c>
      <c r="O126" s="470">
        <v>0</v>
      </c>
      <c r="P126" s="470">
        <v>0</v>
      </c>
      <c r="Q126" s="45">
        <v>0</v>
      </c>
      <c r="R126" s="46">
        <v>0</v>
      </c>
      <c r="S126" s="41">
        <v>45865.70045138889</v>
      </c>
      <c r="T126" s="42" t="s">
        <v>41</v>
      </c>
      <c r="U126" s="43" t="s">
        <v>445</v>
      </c>
      <c r="V126" s="34">
        <f t="shared" si="3"/>
        <v>45990.375</v>
      </c>
      <c r="W126" s="471">
        <f t="shared" si="4"/>
        <v>45990.333333333328</v>
      </c>
      <c r="X126" s="35">
        <f t="shared" si="5"/>
        <v>45990.291666666664</v>
      </c>
    </row>
    <row r="127" spans="1:24" ht="21" customHeight="1" thickBot="1">
      <c r="A127" s="290">
        <v>13</v>
      </c>
      <c r="B127" s="172">
        <v>45990</v>
      </c>
      <c r="C127" s="331">
        <v>45990.416666666664</v>
      </c>
      <c r="D127" s="335">
        <v>45990.625</v>
      </c>
      <c r="E127" s="335">
        <v>45990.75</v>
      </c>
      <c r="F127" s="335">
        <v>45990.791666666664</v>
      </c>
      <c r="G127" s="326">
        <v>45990.958333333336</v>
      </c>
      <c r="H127" s="178" t="s">
        <v>526</v>
      </c>
      <c r="I127" s="175" t="s">
        <v>50</v>
      </c>
      <c r="J127" s="191" t="s">
        <v>10</v>
      </c>
      <c r="K127" s="473"/>
      <c r="L127" s="473"/>
      <c r="M127" s="196" t="s">
        <v>444</v>
      </c>
      <c r="N127" s="458">
        <v>0</v>
      </c>
      <c r="O127" s="470">
        <v>0</v>
      </c>
      <c r="P127" s="470">
        <v>0</v>
      </c>
      <c r="Q127" s="45">
        <v>0</v>
      </c>
      <c r="R127" s="46">
        <v>0</v>
      </c>
      <c r="S127" s="41">
        <v>45865.70045138889</v>
      </c>
      <c r="T127" s="42" t="s">
        <v>41</v>
      </c>
      <c r="U127" s="43" t="s">
        <v>445</v>
      </c>
      <c r="V127" s="34">
        <f t="shared" si="3"/>
        <v>45990.375</v>
      </c>
      <c r="W127" s="471">
        <f t="shared" si="4"/>
        <v>45990.333333333328</v>
      </c>
      <c r="X127" s="35">
        <f t="shared" si="5"/>
        <v>45990.291666666664</v>
      </c>
    </row>
    <row r="128" spans="1:24" ht="21" customHeight="1" thickBot="1">
      <c r="A128" s="290">
        <v>13</v>
      </c>
      <c r="B128" s="172">
        <v>45990</v>
      </c>
      <c r="C128" s="331">
        <v>45990.416666666664</v>
      </c>
      <c r="D128" s="335">
        <v>45990.625</v>
      </c>
      <c r="E128" s="335">
        <v>45990.75</v>
      </c>
      <c r="F128" s="335">
        <v>45990.791666666664</v>
      </c>
      <c r="G128" s="326">
        <v>45990.958333333336</v>
      </c>
      <c r="H128" s="178" t="s">
        <v>356</v>
      </c>
      <c r="I128" s="175" t="s">
        <v>158</v>
      </c>
      <c r="J128" s="188" t="s">
        <v>188</v>
      </c>
      <c r="K128" s="473"/>
      <c r="L128" s="473"/>
      <c r="M128" s="193" t="s">
        <v>4</v>
      </c>
      <c r="N128" s="458">
        <v>0</v>
      </c>
      <c r="O128" s="470">
        <v>0</v>
      </c>
      <c r="P128" s="470">
        <v>0</v>
      </c>
      <c r="Q128" s="45">
        <v>0</v>
      </c>
      <c r="R128" s="46">
        <v>0</v>
      </c>
      <c r="S128" s="41">
        <v>45865.70045138889</v>
      </c>
      <c r="T128" s="42" t="s">
        <v>41</v>
      </c>
      <c r="U128" s="43" t="s">
        <v>445</v>
      </c>
      <c r="V128" s="34">
        <f t="shared" si="3"/>
        <v>45990.375</v>
      </c>
      <c r="W128" s="471">
        <f t="shared" si="4"/>
        <v>45990.333333333328</v>
      </c>
      <c r="X128" s="35">
        <f t="shared" si="5"/>
        <v>45990.291666666664</v>
      </c>
    </row>
    <row r="129" spans="1:24" ht="21" customHeight="1" thickBot="1">
      <c r="A129" s="290">
        <v>13</v>
      </c>
      <c r="B129" s="172">
        <v>45990</v>
      </c>
      <c r="C129" s="331">
        <v>45990.416666666664</v>
      </c>
      <c r="D129" s="335">
        <v>45990.625</v>
      </c>
      <c r="E129" s="335">
        <v>45990.75</v>
      </c>
      <c r="F129" s="335">
        <v>45990.791666666664</v>
      </c>
      <c r="G129" s="326">
        <v>45990.958333333336</v>
      </c>
      <c r="H129" s="178" t="s">
        <v>293</v>
      </c>
      <c r="I129" s="175" t="s">
        <v>45</v>
      </c>
      <c r="J129" s="190" t="s">
        <v>13</v>
      </c>
      <c r="K129" s="473"/>
      <c r="L129" s="473"/>
      <c r="M129" s="195" t="s">
        <v>108</v>
      </c>
      <c r="N129" s="458">
        <v>0</v>
      </c>
      <c r="O129" s="470">
        <v>0</v>
      </c>
      <c r="P129" s="470">
        <v>0</v>
      </c>
      <c r="Q129" s="45">
        <v>0</v>
      </c>
      <c r="R129" s="46">
        <v>0</v>
      </c>
      <c r="S129" s="41">
        <v>45865.70045138889</v>
      </c>
      <c r="T129" s="42" t="s">
        <v>41</v>
      </c>
      <c r="U129" s="43" t="s">
        <v>445</v>
      </c>
      <c r="V129" s="34">
        <f t="shared" si="3"/>
        <v>45990.375</v>
      </c>
      <c r="W129" s="471">
        <f t="shared" si="4"/>
        <v>45990.333333333328</v>
      </c>
      <c r="X129" s="35">
        <f t="shared" si="5"/>
        <v>45990.291666666664</v>
      </c>
    </row>
    <row r="130" spans="1:24" ht="21" customHeight="1" thickBot="1">
      <c r="A130" s="290">
        <v>13</v>
      </c>
      <c r="B130" s="172">
        <v>45990</v>
      </c>
      <c r="C130" s="331">
        <v>45990.416666666664</v>
      </c>
      <c r="D130" s="335">
        <v>45990.625</v>
      </c>
      <c r="E130" s="335">
        <v>45990.75</v>
      </c>
      <c r="F130" s="335">
        <v>45990.791666666664</v>
      </c>
      <c r="G130" s="326">
        <v>45990.958333333336</v>
      </c>
      <c r="H130" s="178" t="s">
        <v>473</v>
      </c>
      <c r="I130" s="175" t="s">
        <v>448</v>
      </c>
      <c r="J130" s="190" t="s">
        <v>443</v>
      </c>
      <c r="K130" s="473"/>
      <c r="L130" s="473"/>
      <c r="M130" s="195" t="s">
        <v>3</v>
      </c>
      <c r="N130" s="458">
        <v>0</v>
      </c>
      <c r="O130" s="470">
        <v>0</v>
      </c>
      <c r="P130" s="470">
        <v>0</v>
      </c>
      <c r="Q130" s="45">
        <v>0</v>
      </c>
      <c r="R130" s="46">
        <v>0</v>
      </c>
      <c r="S130" s="41">
        <v>45865.70045138889</v>
      </c>
      <c r="T130" s="42" t="s">
        <v>41</v>
      </c>
      <c r="U130" s="43" t="s">
        <v>445</v>
      </c>
      <c r="V130" s="34">
        <f t="shared" ref="V130:V193" si="6">IF(C130&lt;&gt;"TBC",C130-1/24,"TBC")</f>
        <v>45990.375</v>
      </c>
      <c r="W130" s="471">
        <f t="shared" ref="W130:W193" si="7">IF(C130&lt;&gt;"TBC",C130-1/12,"TBC")</f>
        <v>45990.333333333328</v>
      </c>
      <c r="X130" s="35">
        <f t="shared" ref="X130:X193" si="8">IF(C130&lt;&gt;"TBC",C130-1/8,"TBC")</f>
        <v>45990.291666666664</v>
      </c>
    </row>
    <row r="131" spans="1:24" ht="21" customHeight="1" thickBot="1">
      <c r="A131" s="290">
        <v>13</v>
      </c>
      <c r="B131" s="172">
        <v>45990</v>
      </c>
      <c r="C131" s="331">
        <v>45990.416666666664</v>
      </c>
      <c r="D131" s="335">
        <v>45990.625</v>
      </c>
      <c r="E131" s="335">
        <v>45990.75</v>
      </c>
      <c r="F131" s="335">
        <v>45990.791666666664</v>
      </c>
      <c r="G131" s="326">
        <v>45990.958333333336</v>
      </c>
      <c r="H131" s="178" t="s">
        <v>324</v>
      </c>
      <c r="I131" s="175" t="s">
        <v>42</v>
      </c>
      <c r="J131" s="191" t="s">
        <v>14</v>
      </c>
      <c r="K131" s="473"/>
      <c r="L131" s="473"/>
      <c r="M131" s="196" t="s">
        <v>9</v>
      </c>
      <c r="N131" s="458">
        <v>0</v>
      </c>
      <c r="O131" s="470">
        <v>0</v>
      </c>
      <c r="P131" s="470">
        <v>0</v>
      </c>
      <c r="Q131" s="45">
        <v>0</v>
      </c>
      <c r="R131" s="46">
        <v>0</v>
      </c>
      <c r="S131" s="41">
        <v>45865.70045138889</v>
      </c>
      <c r="T131" s="42" t="s">
        <v>41</v>
      </c>
      <c r="U131" s="43" t="s">
        <v>445</v>
      </c>
      <c r="V131" s="34">
        <f t="shared" si="6"/>
        <v>45990.375</v>
      </c>
      <c r="W131" s="471">
        <f t="shared" si="7"/>
        <v>45990.333333333328</v>
      </c>
      <c r="X131" s="35">
        <f t="shared" si="8"/>
        <v>45990.291666666664</v>
      </c>
    </row>
    <row r="132" spans="1:24" ht="21" customHeight="1" thickBot="1">
      <c r="A132" s="289">
        <v>14</v>
      </c>
      <c r="B132" s="171">
        <v>45994</v>
      </c>
      <c r="C132" s="330">
        <v>45994.625</v>
      </c>
      <c r="D132" s="334">
        <v>45994.833333333336</v>
      </c>
      <c r="E132" s="334">
        <v>45994.958333333336</v>
      </c>
      <c r="F132" s="334">
        <v>45995</v>
      </c>
      <c r="G132" s="325">
        <v>45995.166666666664</v>
      </c>
      <c r="H132" s="177" t="s">
        <v>140</v>
      </c>
      <c r="I132" s="174" t="s">
        <v>48</v>
      </c>
      <c r="J132" s="199" t="s">
        <v>1</v>
      </c>
      <c r="K132" s="473"/>
      <c r="L132" s="473"/>
      <c r="M132" s="200" t="s">
        <v>107</v>
      </c>
      <c r="N132" s="456">
        <v>0</v>
      </c>
      <c r="O132" s="457">
        <v>0</v>
      </c>
      <c r="P132" s="457">
        <v>0</v>
      </c>
      <c r="Q132" s="39">
        <v>0</v>
      </c>
      <c r="R132" s="40">
        <v>0</v>
      </c>
      <c r="S132" s="36">
        <v>45865.70045138889</v>
      </c>
      <c r="T132" s="37" t="s">
        <v>41</v>
      </c>
      <c r="U132" s="38" t="s">
        <v>445</v>
      </c>
      <c r="V132" s="56">
        <f t="shared" si="6"/>
        <v>45994.583333333336</v>
      </c>
      <c r="W132" s="57">
        <f t="shared" si="7"/>
        <v>45994.541666666664</v>
      </c>
      <c r="X132" s="58">
        <f t="shared" si="8"/>
        <v>45994.5</v>
      </c>
    </row>
    <row r="133" spans="1:24" ht="21" customHeight="1" thickBot="1">
      <c r="A133" s="290">
        <v>14</v>
      </c>
      <c r="B133" s="172">
        <v>45994</v>
      </c>
      <c r="C133" s="331">
        <v>45994.625</v>
      </c>
      <c r="D133" s="335">
        <v>45994.833333333336</v>
      </c>
      <c r="E133" s="335">
        <v>45994.958333333336</v>
      </c>
      <c r="F133" s="335">
        <v>45995</v>
      </c>
      <c r="G133" s="326">
        <v>45995.166666666664</v>
      </c>
      <c r="H133" s="178" t="s">
        <v>328</v>
      </c>
      <c r="I133" s="175" t="s">
        <v>43</v>
      </c>
      <c r="J133" s="191" t="s">
        <v>3</v>
      </c>
      <c r="K133" s="473"/>
      <c r="L133" s="473"/>
      <c r="M133" s="196" t="s">
        <v>8</v>
      </c>
      <c r="N133" s="458">
        <v>0</v>
      </c>
      <c r="O133" s="470">
        <v>0</v>
      </c>
      <c r="P133" s="470">
        <v>0</v>
      </c>
      <c r="Q133" s="45">
        <v>0</v>
      </c>
      <c r="R133" s="46">
        <v>0</v>
      </c>
      <c r="S133" s="41">
        <v>45865.70045138889</v>
      </c>
      <c r="T133" s="42" t="s">
        <v>41</v>
      </c>
      <c r="U133" s="43" t="s">
        <v>445</v>
      </c>
      <c r="V133" s="34">
        <f t="shared" si="6"/>
        <v>45994.583333333336</v>
      </c>
      <c r="W133" s="471">
        <f t="shared" si="7"/>
        <v>45994.541666666664</v>
      </c>
      <c r="X133" s="35">
        <f t="shared" si="8"/>
        <v>45994.5</v>
      </c>
    </row>
    <row r="134" spans="1:24" ht="21" customHeight="1" thickBot="1">
      <c r="A134" s="290">
        <v>14</v>
      </c>
      <c r="B134" s="172">
        <v>45994</v>
      </c>
      <c r="C134" s="331">
        <v>45994.625</v>
      </c>
      <c r="D134" s="335">
        <v>45994.833333333336</v>
      </c>
      <c r="E134" s="335">
        <v>45994.958333333336</v>
      </c>
      <c r="F134" s="335">
        <v>45995</v>
      </c>
      <c r="G134" s="326">
        <v>45995.166666666664</v>
      </c>
      <c r="H134" s="178" t="s">
        <v>385</v>
      </c>
      <c r="I134" s="175" t="s">
        <v>217</v>
      </c>
      <c r="J134" s="188" t="s">
        <v>4</v>
      </c>
      <c r="K134" s="473"/>
      <c r="L134" s="473"/>
      <c r="M134" s="193" t="s">
        <v>2</v>
      </c>
      <c r="N134" s="458">
        <v>0</v>
      </c>
      <c r="O134" s="470">
        <v>0</v>
      </c>
      <c r="P134" s="470">
        <v>0</v>
      </c>
      <c r="Q134" s="45">
        <v>0</v>
      </c>
      <c r="R134" s="46">
        <v>0</v>
      </c>
      <c r="S134" s="41">
        <v>45865.70045138889</v>
      </c>
      <c r="T134" s="42" t="s">
        <v>41</v>
      </c>
      <c r="U134" s="43" t="s">
        <v>445</v>
      </c>
      <c r="V134" s="34">
        <f t="shared" si="6"/>
        <v>45994.583333333336</v>
      </c>
      <c r="W134" s="471">
        <f t="shared" si="7"/>
        <v>45994.541666666664</v>
      </c>
      <c r="X134" s="35">
        <f t="shared" si="8"/>
        <v>45994.5</v>
      </c>
    </row>
    <row r="135" spans="1:24" ht="21" customHeight="1" thickBot="1">
      <c r="A135" s="290">
        <v>14</v>
      </c>
      <c r="B135" s="172">
        <v>45994</v>
      </c>
      <c r="C135" s="331">
        <v>45994.625</v>
      </c>
      <c r="D135" s="335">
        <v>45994.833333333336</v>
      </c>
      <c r="E135" s="335">
        <v>45994.958333333336</v>
      </c>
      <c r="F135" s="335">
        <v>45995</v>
      </c>
      <c r="G135" s="326">
        <v>45995.166666666664</v>
      </c>
      <c r="H135" s="178" t="s">
        <v>474</v>
      </c>
      <c r="I135" s="175" t="s">
        <v>451</v>
      </c>
      <c r="J135" s="190" t="s">
        <v>5</v>
      </c>
      <c r="K135" s="473"/>
      <c r="L135" s="473"/>
      <c r="M135" s="195" t="s">
        <v>7</v>
      </c>
      <c r="N135" s="458">
        <v>0</v>
      </c>
      <c r="O135" s="470">
        <v>0</v>
      </c>
      <c r="P135" s="470">
        <v>0</v>
      </c>
      <c r="Q135" s="45">
        <v>0</v>
      </c>
      <c r="R135" s="46">
        <v>0</v>
      </c>
      <c r="S135" s="41">
        <v>45865.70045138889</v>
      </c>
      <c r="T135" s="42" t="s">
        <v>41</v>
      </c>
      <c r="U135" s="43" t="s">
        <v>445</v>
      </c>
      <c r="V135" s="34">
        <f t="shared" si="6"/>
        <v>45994.583333333336</v>
      </c>
      <c r="W135" s="471">
        <f t="shared" si="7"/>
        <v>45994.541666666664</v>
      </c>
      <c r="X135" s="35">
        <f t="shared" si="8"/>
        <v>45994.5</v>
      </c>
    </row>
    <row r="136" spans="1:24" ht="21" customHeight="1" thickBot="1">
      <c r="A136" s="290">
        <v>14</v>
      </c>
      <c r="B136" s="172">
        <v>45994</v>
      </c>
      <c r="C136" s="331">
        <v>45994.625</v>
      </c>
      <c r="D136" s="335">
        <v>45994.833333333336</v>
      </c>
      <c r="E136" s="335">
        <v>45994.958333333336</v>
      </c>
      <c r="F136" s="335">
        <v>45995</v>
      </c>
      <c r="G136" s="326">
        <v>45995.166666666664</v>
      </c>
      <c r="H136" s="178" t="s">
        <v>429</v>
      </c>
      <c r="I136" s="175" t="s">
        <v>157</v>
      </c>
      <c r="J136" s="188" t="s">
        <v>108</v>
      </c>
      <c r="K136" s="473"/>
      <c r="L136" s="473"/>
      <c r="M136" s="193" t="s">
        <v>10</v>
      </c>
      <c r="N136" s="458">
        <v>0</v>
      </c>
      <c r="O136" s="470">
        <v>0</v>
      </c>
      <c r="P136" s="470">
        <v>0</v>
      </c>
      <c r="Q136" s="45">
        <v>0</v>
      </c>
      <c r="R136" s="46">
        <v>0</v>
      </c>
      <c r="S136" s="41">
        <v>45865.70045138889</v>
      </c>
      <c r="T136" s="42" t="s">
        <v>41</v>
      </c>
      <c r="U136" s="43" t="s">
        <v>445</v>
      </c>
      <c r="V136" s="34">
        <f t="shared" si="6"/>
        <v>45994.583333333336</v>
      </c>
      <c r="W136" s="471">
        <f t="shared" si="7"/>
        <v>45994.541666666664</v>
      </c>
      <c r="X136" s="35">
        <f t="shared" si="8"/>
        <v>45994.5</v>
      </c>
    </row>
    <row r="137" spans="1:24" ht="21" customHeight="1" thickBot="1">
      <c r="A137" s="290">
        <v>14</v>
      </c>
      <c r="B137" s="172">
        <v>45994</v>
      </c>
      <c r="C137" s="331">
        <v>45994.625</v>
      </c>
      <c r="D137" s="335">
        <v>45994.833333333336</v>
      </c>
      <c r="E137" s="335">
        <v>45994.958333333336</v>
      </c>
      <c r="F137" s="335">
        <v>45995</v>
      </c>
      <c r="G137" s="326">
        <v>45995.166666666664</v>
      </c>
      <c r="H137" s="178" t="s">
        <v>527</v>
      </c>
      <c r="I137" s="175" t="s">
        <v>449</v>
      </c>
      <c r="J137" s="188" t="s">
        <v>444</v>
      </c>
      <c r="K137" s="473"/>
      <c r="L137" s="473"/>
      <c r="M137" s="193" t="s">
        <v>6</v>
      </c>
      <c r="N137" s="458">
        <v>0</v>
      </c>
      <c r="O137" s="470">
        <v>0</v>
      </c>
      <c r="P137" s="470">
        <v>0</v>
      </c>
      <c r="Q137" s="45">
        <v>0</v>
      </c>
      <c r="R137" s="46">
        <v>0</v>
      </c>
      <c r="S137" s="41">
        <v>45865.70045138889</v>
      </c>
      <c r="T137" s="42" t="s">
        <v>41</v>
      </c>
      <c r="U137" s="43" t="s">
        <v>445</v>
      </c>
      <c r="V137" s="34">
        <f t="shared" si="6"/>
        <v>45994.583333333336</v>
      </c>
      <c r="W137" s="471">
        <f t="shared" si="7"/>
        <v>45994.541666666664</v>
      </c>
      <c r="X137" s="35">
        <f t="shared" si="8"/>
        <v>45994.5</v>
      </c>
    </row>
    <row r="138" spans="1:24" ht="21" customHeight="1" thickBot="1">
      <c r="A138" s="290">
        <v>14</v>
      </c>
      <c r="B138" s="172">
        <v>45994</v>
      </c>
      <c r="C138" s="331">
        <v>45994.625</v>
      </c>
      <c r="D138" s="335">
        <v>45994.833333333336</v>
      </c>
      <c r="E138" s="335">
        <v>45994.958333333336</v>
      </c>
      <c r="F138" s="335">
        <v>45995</v>
      </c>
      <c r="G138" s="326">
        <v>45995.166666666664</v>
      </c>
      <c r="H138" s="178" t="s">
        <v>475</v>
      </c>
      <c r="I138" s="175" t="s">
        <v>40</v>
      </c>
      <c r="J138" s="191" t="s">
        <v>9</v>
      </c>
      <c r="K138" s="473"/>
      <c r="L138" s="473"/>
      <c r="M138" s="196" t="s">
        <v>443</v>
      </c>
      <c r="N138" s="458">
        <v>0</v>
      </c>
      <c r="O138" s="470">
        <v>0</v>
      </c>
      <c r="P138" s="470">
        <v>0</v>
      </c>
      <c r="Q138" s="45">
        <v>0</v>
      </c>
      <c r="R138" s="46">
        <v>0</v>
      </c>
      <c r="S138" s="41">
        <v>45865.70045138889</v>
      </c>
      <c r="T138" s="42" t="s">
        <v>41</v>
      </c>
      <c r="U138" s="43" t="s">
        <v>445</v>
      </c>
      <c r="V138" s="34">
        <f t="shared" si="6"/>
        <v>45994.583333333336</v>
      </c>
      <c r="W138" s="471">
        <f t="shared" si="7"/>
        <v>45994.541666666664</v>
      </c>
      <c r="X138" s="35">
        <f t="shared" si="8"/>
        <v>45994.5</v>
      </c>
    </row>
    <row r="139" spans="1:24" ht="21" customHeight="1" thickBot="1">
      <c r="A139" s="290">
        <v>14</v>
      </c>
      <c r="B139" s="172">
        <v>45994</v>
      </c>
      <c r="C139" s="331">
        <v>45994.625</v>
      </c>
      <c r="D139" s="335">
        <v>45994.833333333336</v>
      </c>
      <c r="E139" s="335">
        <v>45994.958333333336</v>
      </c>
      <c r="F139" s="335">
        <v>45995</v>
      </c>
      <c r="G139" s="326">
        <v>45995.166666666664</v>
      </c>
      <c r="H139" s="178" t="s">
        <v>418</v>
      </c>
      <c r="I139" s="175" t="s">
        <v>47</v>
      </c>
      <c r="J139" s="188" t="s">
        <v>11</v>
      </c>
      <c r="K139" s="473"/>
      <c r="L139" s="473"/>
      <c r="M139" s="193" t="s">
        <v>14</v>
      </c>
      <c r="N139" s="458">
        <v>0</v>
      </c>
      <c r="O139" s="470">
        <v>0</v>
      </c>
      <c r="P139" s="470">
        <v>0</v>
      </c>
      <c r="Q139" s="45">
        <v>0</v>
      </c>
      <c r="R139" s="46">
        <v>0</v>
      </c>
      <c r="S139" s="41">
        <v>45865.70045138889</v>
      </c>
      <c r="T139" s="42" t="s">
        <v>41</v>
      </c>
      <c r="U139" s="43" t="s">
        <v>445</v>
      </c>
      <c r="V139" s="34">
        <f t="shared" si="6"/>
        <v>45994.583333333336</v>
      </c>
      <c r="W139" s="471">
        <f t="shared" si="7"/>
        <v>45994.541666666664</v>
      </c>
      <c r="X139" s="35">
        <f t="shared" si="8"/>
        <v>45994.5</v>
      </c>
    </row>
    <row r="140" spans="1:24" ht="21" customHeight="1" thickBot="1">
      <c r="A140" s="290">
        <v>14</v>
      </c>
      <c r="B140" s="172">
        <v>45994</v>
      </c>
      <c r="C140" s="331">
        <v>45994.625</v>
      </c>
      <c r="D140" s="335">
        <v>45994.833333333336</v>
      </c>
      <c r="E140" s="335">
        <v>45994.958333333336</v>
      </c>
      <c r="F140" s="335">
        <v>45995</v>
      </c>
      <c r="G140" s="326">
        <v>45995.166666666664</v>
      </c>
      <c r="H140" s="178" t="s">
        <v>234</v>
      </c>
      <c r="I140" s="175" t="s">
        <v>46</v>
      </c>
      <c r="J140" s="190" t="s">
        <v>12</v>
      </c>
      <c r="K140" s="473"/>
      <c r="L140" s="473"/>
      <c r="M140" s="195" t="s">
        <v>13</v>
      </c>
      <c r="N140" s="458">
        <v>0</v>
      </c>
      <c r="O140" s="470">
        <v>0</v>
      </c>
      <c r="P140" s="470">
        <v>0</v>
      </c>
      <c r="Q140" s="45">
        <v>0</v>
      </c>
      <c r="R140" s="46">
        <v>0</v>
      </c>
      <c r="S140" s="41">
        <v>45865.70045138889</v>
      </c>
      <c r="T140" s="42" t="s">
        <v>41</v>
      </c>
      <c r="U140" s="43" t="s">
        <v>445</v>
      </c>
      <c r="V140" s="34">
        <f t="shared" si="6"/>
        <v>45994.583333333336</v>
      </c>
      <c r="W140" s="471">
        <f t="shared" si="7"/>
        <v>45994.541666666664</v>
      </c>
      <c r="X140" s="35">
        <f t="shared" si="8"/>
        <v>45994.5</v>
      </c>
    </row>
    <row r="141" spans="1:24" ht="21" customHeight="1" thickBot="1">
      <c r="A141" s="290">
        <v>14</v>
      </c>
      <c r="B141" s="172">
        <v>45994</v>
      </c>
      <c r="C141" s="331">
        <v>45994.625</v>
      </c>
      <c r="D141" s="335">
        <v>45994.833333333336</v>
      </c>
      <c r="E141" s="335">
        <v>45994.958333333336</v>
      </c>
      <c r="F141" s="335">
        <v>45995</v>
      </c>
      <c r="G141" s="326">
        <v>45995.166666666664</v>
      </c>
      <c r="H141" s="178" t="s">
        <v>332</v>
      </c>
      <c r="I141" s="175" t="s">
        <v>52</v>
      </c>
      <c r="J141" s="191" t="s">
        <v>15</v>
      </c>
      <c r="K141" s="473"/>
      <c r="L141" s="473"/>
      <c r="M141" s="196" t="s">
        <v>188</v>
      </c>
      <c r="N141" s="458">
        <v>0</v>
      </c>
      <c r="O141" s="470">
        <v>0</v>
      </c>
      <c r="P141" s="470">
        <v>0</v>
      </c>
      <c r="Q141" s="45">
        <v>0</v>
      </c>
      <c r="R141" s="46">
        <v>0</v>
      </c>
      <c r="S141" s="41">
        <v>45865.70045138889</v>
      </c>
      <c r="T141" s="42" t="s">
        <v>41</v>
      </c>
      <c r="U141" s="43" t="s">
        <v>445</v>
      </c>
      <c r="V141" s="34">
        <f t="shared" si="6"/>
        <v>45994.583333333336</v>
      </c>
      <c r="W141" s="471">
        <f t="shared" si="7"/>
        <v>45994.541666666664</v>
      </c>
      <c r="X141" s="35">
        <f t="shared" si="8"/>
        <v>45994.5</v>
      </c>
    </row>
    <row r="142" spans="1:24" ht="21" customHeight="1" thickBot="1">
      <c r="A142" s="289">
        <v>15</v>
      </c>
      <c r="B142" s="171">
        <v>45997</v>
      </c>
      <c r="C142" s="330">
        <v>45997.416666666664</v>
      </c>
      <c r="D142" s="334">
        <v>45997.625</v>
      </c>
      <c r="E142" s="334">
        <v>45997.75</v>
      </c>
      <c r="F142" s="334">
        <v>45997.791666666664</v>
      </c>
      <c r="G142" s="325">
        <v>45997.958333333336</v>
      </c>
      <c r="H142" s="177" t="s">
        <v>143</v>
      </c>
      <c r="I142" s="174" t="s">
        <v>49</v>
      </c>
      <c r="J142" s="199" t="s">
        <v>2</v>
      </c>
      <c r="K142" s="473"/>
      <c r="L142" s="473"/>
      <c r="M142" s="200" t="s">
        <v>1</v>
      </c>
      <c r="N142" s="456">
        <v>0</v>
      </c>
      <c r="O142" s="457">
        <v>0</v>
      </c>
      <c r="P142" s="457">
        <v>0</v>
      </c>
      <c r="Q142" s="39">
        <v>0</v>
      </c>
      <c r="R142" s="40">
        <v>0</v>
      </c>
      <c r="S142" s="36">
        <v>45865.70045138889</v>
      </c>
      <c r="T142" s="37" t="s">
        <v>41</v>
      </c>
      <c r="U142" s="38" t="s">
        <v>445</v>
      </c>
      <c r="V142" s="56">
        <f t="shared" si="6"/>
        <v>45997.375</v>
      </c>
      <c r="W142" s="57">
        <f t="shared" si="7"/>
        <v>45997.333333333328</v>
      </c>
      <c r="X142" s="58">
        <f t="shared" si="8"/>
        <v>45997.291666666664</v>
      </c>
    </row>
    <row r="143" spans="1:24" ht="21" customHeight="1" thickBot="1">
      <c r="A143" s="290">
        <v>15</v>
      </c>
      <c r="B143" s="172">
        <v>45997</v>
      </c>
      <c r="C143" s="331">
        <v>45997.416666666664</v>
      </c>
      <c r="D143" s="335">
        <v>45997.625</v>
      </c>
      <c r="E143" s="335">
        <v>45997.75</v>
      </c>
      <c r="F143" s="335">
        <v>45997.791666666664</v>
      </c>
      <c r="G143" s="326">
        <v>45997.958333333336</v>
      </c>
      <c r="H143" s="178" t="s">
        <v>239</v>
      </c>
      <c r="I143" s="175" t="s">
        <v>43</v>
      </c>
      <c r="J143" s="188" t="s">
        <v>3</v>
      </c>
      <c r="K143" s="473"/>
      <c r="L143" s="473"/>
      <c r="M143" s="193" t="s">
        <v>6</v>
      </c>
      <c r="N143" s="458">
        <v>0</v>
      </c>
      <c r="O143" s="470">
        <v>0</v>
      </c>
      <c r="P143" s="470">
        <v>0</v>
      </c>
      <c r="Q143" s="45">
        <v>0</v>
      </c>
      <c r="R143" s="46">
        <v>0</v>
      </c>
      <c r="S143" s="41">
        <v>45865.70045138889</v>
      </c>
      <c r="T143" s="42" t="s">
        <v>41</v>
      </c>
      <c r="U143" s="43" t="s">
        <v>445</v>
      </c>
      <c r="V143" s="34">
        <f t="shared" si="6"/>
        <v>45997.375</v>
      </c>
      <c r="W143" s="471">
        <f t="shared" si="7"/>
        <v>45997.333333333328</v>
      </c>
      <c r="X143" s="35">
        <f t="shared" si="8"/>
        <v>45997.291666666664</v>
      </c>
    </row>
    <row r="144" spans="1:24" ht="21" customHeight="1" thickBot="1">
      <c r="A144" s="290">
        <v>15</v>
      </c>
      <c r="B144" s="172">
        <v>45997</v>
      </c>
      <c r="C144" s="331">
        <v>45997.416666666664</v>
      </c>
      <c r="D144" s="335">
        <v>45997.625</v>
      </c>
      <c r="E144" s="335">
        <v>45997.75</v>
      </c>
      <c r="F144" s="335">
        <v>45997.791666666664</v>
      </c>
      <c r="G144" s="326">
        <v>45997.958333333336</v>
      </c>
      <c r="H144" s="178" t="s">
        <v>407</v>
      </c>
      <c r="I144" s="175" t="s">
        <v>217</v>
      </c>
      <c r="J144" s="190" t="s">
        <v>4</v>
      </c>
      <c r="K144" s="473"/>
      <c r="L144" s="473"/>
      <c r="M144" s="195" t="s">
        <v>14</v>
      </c>
      <c r="N144" s="458">
        <v>0</v>
      </c>
      <c r="O144" s="470">
        <v>0</v>
      </c>
      <c r="P144" s="470">
        <v>0</v>
      </c>
      <c r="Q144" s="45">
        <v>0</v>
      </c>
      <c r="R144" s="46">
        <v>0</v>
      </c>
      <c r="S144" s="41">
        <v>45865.70045138889</v>
      </c>
      <c r="T144" s="42" t="s">
        <v>41</v>
      </c>
      <c r="U144" s="43" t="s">
        <v>445</v>
      </c>
      <c r="V144" s="34">
        <f t="shared" si="6"/>
        <v>45997.375</v>
      </c>
      <c r="W144" s="471">
        <f t="shared" si="7"/>
        <v>45997.333333333328</v>
      </c>
      <c r="X144" s="35">
        <f t="shared" si="8"/>
        <v>45997.291666666664</v>
      </c>
    </row>
    <row r="145" spans="1:24" ht="21" customHeight="1" thickBot="1">
      <c r="A145" s="290">
        <v>15</v>
      </c>
      <c r="B145" s="172">
        <v>45997</v>
      </c>
      <c r="C145" s="331">
        <v>45997.416666666664</v>
      </c>
      <c r="D145" s="335">
        <v>45997.625</v>
      </c>
      <c r="E145" s="335">
        <v>45997.75</v>
      </c>
      <c r="F145" s="335">
        <v>45997.791666666664</v>
      </c>
      <c r="G145" s="326">
        <v>45997.958333333336</v>
      </c>
      <c r="H145" s="178" t="s">
        <v>321</v>
      </c>
      <c r="I145" s="175" t="s">
        <v>452</v>
      </c>
      <c r="J145" s="188" t="s">
        <v>8</v>
      </c>
      <c r="K145" s="473"/>
      <c r="L145" s="473"/>
      <c r="M145" s="193" t="s">
        <v>188</v>
      </c>
      <c r="N145" s="458">
        <v>0</v>
      </c>
      <c r="O145" s="470">
        <v>0</v>
      </c>
      <c r="P145" s="470">
        <v>0</v>
      </c>
      <c r="Q145" s="45">
        <v>0</v>
      </c>
      <c r="R145" s="46">
        <v>0</v>
      </c>
      <c r="S145" s="41">
        <v>45865.70045138889</v>
      </c>
      <c r="T145" s="42" t="s">
        <v>41</v>
      </c>
      <c r="U145" s="43" t="s">
        <v>445</v>
      </c>
      <c r="V145" s="34">
        <f t="shared" si="6"/>
        <v>45997.375</v>
      </c>
      <c r="W145" s="471">
        <f t="shared" si="7"/>
        <v>45997.333333333328</v>
      </c>
      <c r="X145" s="35">
        <f t="shared" si="8"/>
        <v>45997.291666666664</v>
      </c>
    </row>
    <row r="146" spans="1:24" ht="21" customHeight="1" thickBot="1">
      <c r="A146" s="290">
        <v>15</v>
      </c>
      <c r="B146" s="172">
        <v>45997</v>
      </c>
      <c r="C146" s="331">
        <v>45997.416666666664</v>
      </c>
      <c r="D146" s="335">
        <v>45997.625</v>
      </c>
      <c r="E146" s="335">
        <v>45997.75</v>
      </c>
      <c r="F146" s="335">
        <v>45997.791666666664</v>
      </c>
      <c r="G146" s="326">
        <v>45997.958333333336</v>
      </c>
      <c r="H146" s="178" t="s">
        <v>171</v>
      </c>
      <c r="I146" s="175" t="s">
        <v>157</v>
      </c>
      <c r="J146" s="188" t="s">
        <v>108</v>
      </c>
      <c r="K146" s="473"/>
      <c r="L146" s="473"/>
      <c r="M146" s="193" t="s">
        <v>7</v>
      </c>
      <c r="N146" s="458">
        <v>0</v>
      </c>
      <c r="O146" s="470">
        <v>0</v>
      </c>
      <c r="P146" s="470">
        <v>0</v>
      </c>
      <c r="Q146" s="45">
        <v>0</v>
      </c>
      <c r="R146" s="46">
        <v>0</v>
      </c>
      <c r="S146" s="41">
        <v>45865.70045138889</v>
      </c>
      <c r="T146" s="42" t="s">
        <v>41</v>
      </c>
      <c r="U146" s="43" t="s">
        <v>445</v>
      </c>
      <c r="V146" s="34">
        <f t="shared" si="6"/>
        <v>45997.375</v>
      </c>
      <c r="W146" s="471">
        <f t="shared" si="7"/>
        <v>45997.333333333328</v>
      </c>
      <c r="X146" s="35">
        <f t="shared" si="8"/>
        <v>45997.291666666664</v>
      </c>
    </row>
    <row r="147" spans="1:24" ht="21" customHeight="1" thickBot="1">
      <c r="A147" s="290">
        <v>15</v>
      </c>
      <c r="B147" s="172">
        <v>45997</v>
      </c>
      <c r="C147" s="331">
        <v>45997.416666666664</v>
      </c>
      <c r="D147" s="335">
        <v>45997.625</v>
      </c>
      <c r="E147" s="335">
        <v>45997.75</v>
      </c>
      <c r="F147" s="335">
        <v>45997.791666666664</v>
      </c>
      <c r="G147" s="326">
        <v>45997.958333333336</v>
      </c>
      <c r="H147" s="178" t="s">
        <v>528</v>
      </c>
      <c r="I147" s="175" t="s">
        <v>449</v>
      </c>
      <c r="J147" s="191" t="s">
        <v>444</v>
      </c>
      <c r="K147" s="473"/>
      <c r="L147" s="473"/>
      <c r="M147" s="196" t="s">
        <v>9</v>
      </c>
      <c r="N147" s="458">
        <v>0</v>
      </c>
      <c r="O147" s="470">
        <v>0</v>
      </c>
      <c r="P147" s="470">
        <v>0</v>
      </c>
      <c r="Q147" s="45">
        <v>0</v>
      </c>
      <c r="R147" s="46">
        <v>0</v>
      </c>
      <c r="S147" s="41">
        <v>45865.70045138889</v>
      </c>
      <c r="T147" s="42" t="s">
        <v>41</v>
      </c>
      <c r="U147" s="43" t="s">
        <v>445</v>
      </c>
      <c r="V147" s="34">
        <f t="shared" si="6"/>
        <v>45997.375</v>
      </c>
      <c r="W147" s="471">
        <f t="shared" si="7"/>
        <v>45997.333333333328</v>
      </c>
      <c r="X147" s="35">
        <f t="shared" si="8"/>
        <v>45997.291666666664</v>
      </c>
    </row>
    <row r="148" spans="1:24" ht="21" customHeight="1" thickBot="1">
      <c r="A148" s="290">
        <v>15</v>
      </c>
      <c r="B148" s="172">
        <v>45997</v>
      </c>
      <c r="C148" s="331">
        <v>45997.416666666664</v>
      </c>
      <c r="D148" s="335">
        <v>45997.625</v>
      </c>
      <c r="E148" s="335">
        <v>45997.75</v>
      </c>
      <c r="F148" s="335">
        <v>45997.791666666664</v>
      </c>
      <c r="G148" s="326">
        <v>45997.958333333336</v>
      </c>
      <c r="H148" s="178" t="s">
        <v>476</v>
      </c>
      <c r="I148" s="175" t="s">
        <v>50</v>
      </c>
      <c r="J148" s="191" t="s">
        <v>10</v>
      </c>
      <c r="K148" s="473"/>
      <c r="L148" s="473"/>
      <c r="M148" s="196" t="s">
        <v>443</v>
      </c>
      <c r="N148" s="458">
        <v>0</v>
      </c>
      <c r="O148" s="470">
        <v>0</v>
      </c>
      <c r="P148" s="470">
        <v>0</v>
      </c>
      <c r="Q148" s="45">
        <v>0</v>
      </c>
      <c r="R148" s="46">
        <v>0</v>
      </c>
      <c r="S148" s="41">
        <v>45865.70045138889</v>
      </c>
      <c r="T148" s="42" t="s">
        <v>41</v>
      </c>
      <c r="U148" s="43" t="s">
        <v>445</v>
      </c>
      <c r="V148" s="34">
        <f t="shared" si="6"/>
        <v>45997.375</v>
      </c>
      <c r="W148" s="471">
        <f t="shared" si="7"/>
        <v>45997.333333333328</v>
      </c>
      <c r="X148" s="35">
        <f t="shared" si="8"/>
        <v>45997.291666666664</v>
      </c>
    </row>
    <row r="149" spans="1:24" ht="21" customHeight="1" thickBot="1">
      <c r="A149" s="290">
        <v>15</v>
      </c>
      <c r="B149" s="172">
        <v>45997</v>
      </c>
      <c r="C149" s="331">
        <v>45997.416666666664</v>
      </c>
      <c r="D149" s="335">
        <v>45997.625</v>
      </c>
      <c r="E149" s="335">
        <v>45997.75</v>
      </c>
      <c r="F149" s="335">
        <v>45997.791666666664</v>
      </c>
      <c r="G149" s="326">
        <v>45997.958333333336</v>
      </c>
      <c r="H149" s="178" t="s">
        <v>477</v>
      </c>
      <c r="I149" s="175" t="s">
        <v>46</v>
      </c>
      <c r="J149" s="188" t="s">
        <v>12</v>
      </c>
      <c r="K149" s="473"/>
      <c r="L149" s="473"/>
      <c r="M149" s="193" t="s">
        <v>5</v>
      </c>
      <c r="N149" s="458">
        <v>0</v>
      </c>
      <c r="O149" s="470">
        <v>0</v>
      </c>
      <c r="P149" s="470">
        <v>0</v>
      </c>
      <c r="Q149" s="45">
        <v>0</v>
      </c>
      <c r="R149" s="46">
        <v>0</v>
      </c>
      <c r="S149" s="41">
        <v>45865.70045138889</v>
      </c>
      <c r="T149" s="42" t="s">
        <v>41</v>
      </c>
      <c r="U149" s="43" t="s">
        <v>445</v>
      </c>
      <c r="V149" s="34">
        <f t="shared" si="6"/>
        <v>45997.375</v>
      </c>
      <c r="W149" s="471">
        <f t="shared" si="7"/>
        <v>45997.333333333328</v>
      </c>
      <c r="X149" s="35">
        <f t="shared" si="8"/>
        <v>45997.291666666664</v>
      </c>
    </row>
    <row r="150" spans="1:24" ht="21" customHeight="1" thickBot="1">
      <c r="A150" s="290">
        <v>15</v>
      </c>
      <c r="B150" s="172">
        <v>45997</v>
      </c>
      <c r="C150" s="331">
        <v>45997.416666666664</v>
      </c>
      <c r="D150" s="335">
        <v>45997.625</v>
      </c>
      <c r="E150" s="335">
        <v>45997.75</v>
      </c>
      <c r="F150" s="335">
        <v>45997.791666666664</v>
      </c>
      <c r="G150" s="326">
        <v>45997.958333333336</v>
      </c>
      <c r="H150" s="178" t="s">
        <v>246</v>
      </c>
      <c r="I150" s="175" t="s">
        <v>45</v>
      </c>
      <c r="J150" s="188" t="s">
        <v>13</v>
      </c>
      <c r="K150" s="473"/>
      <c r="L150" s="473"/>
      <c r="M150" s="193" t="s">
        <v>107</v>
      </c>
      <c r="N150" s="458">
        <v>0</v>
      </c>
      <c r="O150" s="470">
        <v>0</v>
      </c>
      <c r="P150" s="470">
        <v>0</v>
      </c>
      <c r="Q150" s="45">
        <v>0</v>
      </c>
      <c r="R150" s="46">
        <v>0</v>
      </c>
      <c r="S150" s="41">
        <v>45865.70045138889</v>
      </c>
      <c r="T150" s="42" t="s">
        <v>41</v>
      </c>
      <c r="U150" s="43" t="s">
        <v>445</v>
      </c>
      <c r="V150" s="34">
        <f t="shared" si="6"/>
        <v>45997.375</v>
      </c>
      <c r="W150" s="471">
        <f t="shared" si="7"/>
        <v>45997.333333333328</v>
      </c>
      <c r="X150" s="35">
        <f t="shared" si="8"/>
        <v>45997.291666666664</v>
      </c>
    </row>
    <row r="151" spans="1:24" ht="21" customHeight="1" thickBot="1">
      <c r="A151" s="290">
        <v>15</v>
      </c>
      <c r="B151" s="172">
        <v>45997</v>
      </c>
      <c r="C151" s="331">
        <v>45997.416666666664</v>
      </c>
      <c r="D151" s="335">
        <v>45997.625</v>
      </c>
      <c r="E151" s="335">
        <v>45997.75</v>
      </c>
      <c r="F151" s="335">
        <v>45997.791666666664</v>
      </c>
      <c r="G151" s="326">
        <v>45997.958333333336</v>
      </c>
      <c r="H151" s="178" t="s">
        <v>319</v>
      </c>
      <c r="I151" s="175" t="s">
        <v>52</v>
      </c>
      <c r="J151" s="191" t="s">
        <v>15</v>
      </c>
      <c r="K151" s="473"/>
      <c r="L151" s="473"/>
      <c r="M151" s="196" t="s">
        <v>11</v>
      </c>
      <c r="N151" s="458">
        <v>0</v>
      </c>
      <c r="O151" s="470">
        <v>0</v>
      </c>
      <c r="P151" s="470">
        <v>0</v>
      </c>
      <c r="Q151" s="45">
        <v>0</v>
      </c>
      <c r="R151" s="46">
        <v>0</v>
      </c>
      <c r="S151" s="41">
        <v>45865.70045138889</v>
      </c>
      <c r="T151" s="42" t="s">
        <v>41</v>
      </c>
      <c r="U151" s="43" t="s">
        <v>445</v>
      </c>
      <c r="V151" s="34">
        <f t="shared" si="6"/>
        <v>45997.375</v>
      </c>
      <c r="W151" s="471">
        <f t="shared" si="7"/>
        <v>45997.333333333328</v>
      </c>
      <c r="X151" s="35">
        <f t="shared" si="8"/>
        <v>45997.291666666664</v>
      </c>
    </row>
    <row r="152" spans="1:24" ht="21" customHeight="1" thickBot="1">
      <c r="A152" s="289">
        <v>16</v>
      </c>
      <c r="B152" s="171">
        <v>46004</v>
      </c>
      <c r="C152" s="330">
        <v>46004.416666666664</v>
      </c>
      <c r="D152" s="334">
        <v>46004.625</v>
      </c>
      <c r="E152" s="334">
        <v>46004.75</v>
      </c>
      <c r="F152" s="334">
        <v>46004.791666666664</v>
      </c>
      <c r="G152" s="325">
        <v>46004.958333333336</v>
      </c>
      <c r="H152" s="177" t="s">
        <v>220</v>
      </c>
      <c r="I152" s="174" t="s">
        <v>48</v>
      </c>
      <c r="J152" s="187" t="s">
        <v>1</v>
      </c>
      <c r="K152" s="473"/>
      <c r="L152" s="473"/>
      <c r="M152" s="192" t="s">
        <v>15</v>
      </c>
      <c r="N152" s="456">
        <v>0</v>
      </c>
      <c r="O152" s="457">
        <v>0</v>
      </c>
      <c r="P152" s="457">
        <v>0</v>
      </c>
      <c r="Q152" s="39">
        <v>0</v>
      </c>
      <c r="R152" s="40">
        <v>0</v>
      </c>
      <c r="S152" s="36">
        <v>45865.70045138889</v>
      </c>
      <c r="T152" s="37" t="s">
        <v>41</v>
      </c>
      <c r="U152" s="38" t="s">
        <v>445</v>
      </c>
      <c r="V152" s="56">
        <f t="shared" si="6"/>
        <v>46004.375</v>
      </c>
      <c r="W152" s="57">
        <f t="shared" si="7"/>
        <v>46004.333333333328</v>
      </c>
      <c r="X152" s="58">
        <f t="shared" si="8"/>
        <v>46004.291666666664</v>
      </c>
    </row>
    <row r="153" spans="1:24" ht="21" customHeight="1" thickBot="1">
      <c r="A153" s="290">
        <v>16</v>
      </c>
      <c r="B153" s="172">
        <v>46004</v>
      </c>
      <c r="C153" s="331">
        <v>46004.416666666664</v>
      </c>
      <c r="D153" s="335">
        <v>46004.625</v>
      </c>
      <c r="E153" s="335">
        <v>46004.75</v>
      </c>
      <c r="F153" s="335">
        <v>46004.791666666664</v>
      </c>
      <c r="G153" s="326">
        <v>46004.958333333336</v>
      </c>
      <c r="H153" s="178" t="s">
        <v>529</v>
      </c>
      <c r="I153" s="175" t="s">
        <v>172</v>
      </c>
      <c r="J153" s="190" t="s">
        <v>107</v>
      </c>
      <c r="K153" s="473"/>
      <c r="L153" s="473"/>
      <c r="M153" s="195" t="s">
        <v>444</v>
      </c>
      <c r="N153" s="458">
        <v>0</v>
      </c>
      <c r="O153" s="470">
        <v>0</v>
      </c>
      <c r="P153" s="470">
        <v>0</v>
      </c>
      <c r="Q153" s="45">
        <v>0</v>
      </c>
      <c r="R153" s="46">
        <v>0</v>
      </c>
      <c r="S153" s="41">
        <v>45865.70045138889</v>
      </c>
      <c r="T153" s="42" t="s">
        <v>41</v>
      </c>
      <c r="U153" s="43" t="s">
        <v>445</v>
      </c>
      <c r="V153" s="34">
        <f t="shared" si="6"/>
        <v>46004.375</v>
      </c>
      <c r="W153" s="471">
        <f t="shared" si="7"/>
        <v>46004.333333333328</v>
      </c>
      <c r="X153" s="35">
        <f t="shared" si="8"/>
        <v>46004.291666666664</v>
      </c>
    </row>
    <row r="154" spans="1:24" ht="21" customHeight="1" thickBot="1">
      <c r="A154" s="290">
        <v>16</v>
      </c>
      <c r="B154" s="172">
        <v>46004</v>
      </c>
      <c r="C154" s="331">
        <v>46004.416666666664</v>
      </c>
      <c r="D154" s="335">
        <v>46004.625</v>
      </c>
      <c r="E154" s="335">
        <v>46004.75</v>
      </c>
      <c r="F154" s="335">
        <v>46004.791666666664</v>
      </c>
      <c r="G154" s="326">
        <v>46004.958333333336</v>
      </c>
      <c r="H154" s="178" t="s">
        <v>478</v>
      </c>
      <c r="I154" s="175" t="s">
        <v>451</v>
      </c>
      <c r="J154" s="190" t="s">
        <v>5</v>
      </c>
      <c r="K154" s="473"/>
      <c r="L154" s="473"/>
      <c r="M154" s="195" t="s">
        <v>108</v>
      </c>
      <c r="N154" s="458">
        <v>0</v>
      </c>
      <c r="O154" s="470">
        <v>0</v>
      </c>
      <c r="P154" s="470">
        <v>0</v>
      </c>
      <c r="Q154" s="45">
        <v>0</v>
      </c>
      <c r="R154" s="46">
        <v>0</v>
      </c>
      <c r="S154" s="41">
        <v>45865.70045138889</v>
      </c>
      <c r="T154" s="42" t="s">
        <v>41</v>
      </c>
      <c r="U154" s="43" t="s">
        <v>445</v>
      </c>
      <c r="V154" s="34">
        <f t="shared" si="6"/>
        <v>46004.375</v>
      </c>
      <c r="W154" s="471">
        <f t="shared" si="7"/>
        <v>46004.333333333328</v>
      </c>
      <c r="X154" s="35">
        <f t="shared" si="8"/>
        <v>46004.291666666664</v>
      </c>
    </row>
    <row r="155" spans="1:24" ht="21" customHeight="1" thickBot="1">
      <c r="A155" s="290">
        <v>16</v>
      </c>
      <c r="B155" s="172">
        <v>46004</v>
      </c>
      <c r="C155" s="331">
        <v>46004.416666666664</v>
      </c>
      <c r="D155" s="335">
        <v>46004.625</v>
      </c>
      <c r="E155" s="335">
        <v>46004.75</v>
      </c>
      <c r="F155" s="335">
        <v>46004.791666666664</v>
      </c>
      <c r="G155" s="326">
        <v>46004.958333333336</v>
      </c>
      <c r="H155" s="178" t="s">
        <v>131</v>
      </c>
      <c r="I155" s="175" t="s">
        <v>51</v>
      </c>
      <c r="J155" s="191" t="s">
        <v>6</v>
      </c>
      <c r="K155" s="473"/>
      <c r="L155" s="473"/>
      <c r="M155" s="196" t="s">
        <v>8</v>
      </c>
      <c r="N155" s="458">
        <v>0</v>
      </c>
      <c r="O155" s="470">
        <v>0</v>
      </c>
      <c r="P155" s="470">
        <v>0</v>
      </c>
      <c r="Q155" s="45">
        <v>0</v>
      </c>
      <c r="R155" s="46">
        <v>0</v>
      </c>
      <c r="S155" s="41">
        <v>45865.70045138889</v>
      </c>
      <c r="T155" s="42" t="s">
        <v>41</v>
      </c>
      <c r="U155" s="43" t="s">
        <v>445</v>
      </c>
      <c r="V155" s="34">
        <f t="shared" si="6"/>
        <v>46004.375</v>
      </c>
      <c r="W155" s="471">
        <f t="shared" si="7"/>
        <v>46004.333333333328</v>
      </c>
      <c r="X155" s="35">
        <f t="shared" si="8"/>
        <v>46004.291666666664</v>
      </c>
    </row>
    <row r="156" spans="1:24" ht="21" customHeight="1" thickBot="1">
      <c r="A156" s="290">
        <v>16</v>
      </c>
      <c r="B156" s="172">
        <v>46004</v>
      </c>
      <c r="C156" s="331">
        <v>46004.416666666664</v>
      </c>
      <c r="D156" s="335">
        <v>46004.625</v>
      </c>
      <c r="E156" s="335">
        <v>46004.75</v>
      </c>
      <c r="F156" s="335">
        <v>46004.791666666664</v>
      </c>
      <c r="G156" s="326">
        <v>46004.958333333336</v>
      </c>
      <c r="H156" s="178" t="s">
        <v>302</v>
      </c>
      <c r="I156" s="175" t="s">
        <v>44</v>
      </c>
      <c r="J156" s="188" t="s">
        <v>7</v>
      </c>
      <c r="K156" s="473"/>
      <c r="L156" s="473"/>
      <c r="M156" s="193" t="s">
        <v>10</v>
      </c>
      <c r="N156" s="458">
        <v>0</v>
      </c>
      <c r="O156" s="470">
        <v>0</v>
      </c>
      <c r="P156" s="470">
        <v>0</v>
      </c>
      <c r="Q156" s="45">
        <v>0</v>
      </c>
      <c r="R156" s="46">
        <v>0</v>
      </c>
      <c r="S156" s="41">
        <v>45865.70045138889</v>
      </c>
      <c r="T156" s="42" t="s">
        <v>41</v>
      </c>
      <c r="U156" s="43" t="s">
        <v>445</v>
      </c>
      <c r="V156" s="34">
        <f t="shared" si="6"/>
        <v>46004.375</v>
      </c>
      <c r="W156" s="471">
        <f t="shared" si="7"/>
        <v>46004.333333333328</v>
      </c>
      <c r="X156" s="35">
        <f t="shared" si="8"/>
        <v>46004.291666666664</v>
      </c>
    </row>
    <row r="157" spans="1:24" ht="21" customHeight="1" thickBot="1">
      <c r="A157" s="290">
        <v>16</v>
      </c>
      <c r="B157" s="172">
        <v>46004</v>
      </c>
      <c r="C157" s="331">
        <v>46004.416666666664</v>
      </c>
      <c r="D157" s="335">
        <v>46004.625</v>
      </c>
      <c r="E157" s="335">
        <v>46004.75</v>
      </c>
      <c r="F157" s="335">
        <v>46004.791666666664</v>
      </c>
      <c r="G157" s="326">
        <v>46004.958333333336</v>
      </c>
      <c r="H157" s="178" t="s">
        <v>275</v>
      </c>
      <c r="I157" s="175" t="s">
        <v>40</v>
      </c>
      <c r="J157" s="188" t="s">
        <v>9</v>
      </c>
      <c r="K157" s="473"/>
      <c r="L157" s="473"/>
      <c r="M157" s="193" t="s">
        <v>4</v>
      </c>
      <c r="N157" s="458">
        <v>0</v>
      </c>
      <c r="O157" s="470">
        <v>0</v>
      </c>
      <c r="P157" s="470">
        <v>0</v>
      </c>
      <c r="Q157" s="45">
        <v>0</v>
      </c>
      <c r="R157" s="46">
        <v>0</v>
      </c>
      <c r="S157" s="41">
        <v>45865.70045138889</v>
      </c>
      <c r="T157" s="42" t="s">
        <v>41</v>
      </c>
      <c r="U157" s="43" t="s">
        <v>445</v>
      </c>
      <c r="V157" s="34">
        <f t="shared" si="6"/>
        <v>46004.375</v>
      </c>
      <c r="W157" s="471">
        <f t="shared" si="7"/>
        <v>46004.333333333328</v>
      </c>
      <c r="X157" s="35">
        <f t="shared" si="8"/>
        <v>46004.291666666664</v>
      </c>
    </row>
    <row r="158" spans="1:24" ht="21" customHeight="1" thickBot="1">
      <c r="A158" s="290">
        <v>16</v>
      </c>
      <c r="B158" s="172">
        <v>46004</v>
      </c>
      <c r="C158" s="331">
        <v>46004.416666666664</v>
      </c>
      <c r="D158" s="335">
        <v>46004.625</v>
      </c>
      <c r="E158" s="335">
        <v>46004.75</v>
      </c>
      <c r="F158" s="335">
        <v>46004.791666666664</v>
      </c>
      <c r="G158" s="326">
        <v>46004.958333333336</v>
      </c>
      <c r="H158" s="178" t="s">
        <v>313</v>
      </c>
      <c r="I158" s="175" t="s">
        <v>47</v>
      </c>
      <c r="J158" s="191" t="s">
        <v>11</v>
      </c>
      <c r="K158" s="473"/>
      <c r="L158" s="473"/>
      <c r="M158" s="196" t="s">
        <v>3</v>
      </c>
      <c r="N158" s="458">
        <v>0</v>
      </c>
      <c r="O158" s="470">
        <v>0</v>
      </c>
      <c r="P158" s="470">
        <v>0</v>
      </c>
      <c r="Q158" s="45">
        <v>0</v>
      </c>
      <c r="R158" s="46">
        <v>0</v>
      </c>
      <c r="S158" s="41">
        <v>45865.70045138889</v>
      </c>
      <c r="T158" s="42" t="s">
        <v>41</v>
      </c>
      <c r="U158" s="43" t="s">
        <v>445</v>
      </c>
      <c r="V158" s="34">
        <f t="shared" si="6"/>
        <v>46004.375</v>
      </c>
      <c r="W158" s="471">
        <f t="shared" si="7"/>
        <v>46004.333333333328</v>
      </c>
      <c r="X158" s="35">
        <f t="shared" si="8"/>
        <v>46004.291666666664</v>
      </c>
    </row>
    <row r="159" spans="1:24" ht="21" customHeight="1" thickBot="1">
      <c r="A159" s="290">
        <v>16</v>
      </c>
      <c r="B159" s="172">
        <v>46004</v>
      </c>
      <c r="C159" s="331">
        <v>46004.416666666664</v>
      </c>
      <c r="D159" s="335">
        <v>46004.625</v>
      </c>
      <c r="E159" s="335">
        <v>46004.75</v>
      </c>
      <c r="F159" s="335">
        <v>46004.791666666664</v>
      </c>
      <c r="G159" s="326">
        <v>46004.958333333336</v>
      </c>
      <c r="H159" s="178" t="s">
        <v>318</v>
      </c>
      <c r="I159" s="175" t="s">
        <v>158</v>
      </c>
      <c r="J159" s="191" t="s">
        <v>188</v>
      </c>
      <c r="K159" s="473"/>
      <c r="L159" s="473"/>
      <c r="M159" s="196" t="s">
        <v>13</v>
      </c>
      <c r="N159" s="458">
        <v>0</v>
      </c>
      <c r="O159" s="470">
        <v>0</v>
      </c>
      <c r="P159" s="470">
        <v>0</v>
      </c>
      <c r="Q159" s="45">
        <v>0</v>
      </c>
      <c r="R159" s="46">
        <v>0</v>
      </c>
      <c r="S159" s="41">
        <v>45865.70045138889</v>
      </c>
      <c r="T159" s="42" t="s">
        <v>41</v>
      </c>
      <c r="U159" s="43" t="s">
        <v>445</v>
      </c>
      <c r="V159" s="34">
        <f t="shared" si="6"/>
        <v>46004.375</v>
      </c>
      <c r="W159" s="471">
        <f t="shared" si="7"/>
        <v>46004.333333333328</v>
      </c>
      <c r="X159" s="35">
        <f t="shared" si="8"/>
        <v>46004.291666666664</v>
      </c>
    </row>
    <row r="160" spans="1:24" ht="21" customHeight="1" thickBot="1">
      <c r="A160" s="290">
        <v>16</v>
      </c>
      <c r="B160" s="172">
        <v>46004</v>
      </c>
      <c r="C160" s="331">
        <v>46004.416666666664</v>
      </c>
      <c r="D160" s="335">
        <v>46004.625</v>
      </c>
      <c r="E160" s="335">
        <v>46004.75</v>
      </c>
      <c r="F160" s="335">
        <v>46004.791666666664</v>
      </c>
      <c r="G160" s="326">
        <v>46004.958333333336</v>
      </c>
      <c r="H160" s="178" t="s">
        <v>479</v>
      </c>
      <c r="I160" s="175" t="s">
        <v>448</v>
      </c>
      <c r="J160" s="190" t="s">
        <v>443</v>
      </c>
      <c r="K160" s="473"/>
      <c r="L160" s="473"/>
      <c r="M160" s="195" t="s">
        <v>12</v>
      </c>
      <c r="N160" s="458">
        <v>0</v>
      </c>
      <c r="O160" s="470">
        <v>0</v>
      </c>
      <c r="P160" s="470">
        <v>0</v>
      </c>
      <c r="Q160" s="45">
        <v>0</v>
      </c>
      <c r="R160" s="46">
        <v>0</v>
      </c>
      <c r="S160" s="41">
        <v>45865.70045138889</v>
      </c>
      <c r="T160" s="42" t="s">
        <v>41</v>
      </c>
      <c r="U160" s="43" t="s">
        <v>445</v>
      </c>
      <c r="V160" s="34">
        <f t="shared" si="6"/>
        <v>46004.375</v>
      </c>
      <c r="W160" s="471">
        <f t="shared" si="7"/>
        <v>46004.333333333328</v>
      </c>
      <c r="X160" s="35">
        <f t="shared" si="8"/>
        <v>46004.291666666664</v>
      </c>
    </row>
    <row r="161" spans="1:24" ht="21" customHeight="1" thickBot="1">
      <c r="A161" s="290">
        <v>16</v>
      </c>
      <c r="B161" s="172">
        <v>46004</v>
      </c>
      <c r="C161" s="331">
        <v>46004.416666666664</v>
      </c>
      <c r="D161" s="335">
        <v>46004.625</v>
      </c>
      <c r="E161" s="335">
        <v>46004.75</v>
      </c>
      <c r="F161" s="335">
        <v>46004.791666666664</v>
      </c>
      <c r="G161" s="326">
        <v>46004.958333333336</v>
      </c>
      <c r="H161" s="178" t="s">
        <v>223</v>
      </c>
      <c r="I161" s="175" t="s">
        <v>42</v>
      </c>
      <c r="J161" s="191" t="s">
        <v>14</v>
      </c>
      <c r="K161" s="473"/>
      <c r="L161" s="473"/>
      <c r="M161" s="196" t="s">
        <v>2</v>
      </c>
      <c r="N161" s="458">
        <v>0</v>
      </c>
      <c r="O161" s="470">
        <v>0</v>
      </c>
      <c r="P161" s="470">
        <v>0</v>
      </c>
      <c r="Q161" s="45">
        <v>0</v>
      </c>
      <c r="R161" s="46">
        <v>0</v>
      </c>
      <c r="S161" s="41">
        <v>45865.70045138889</v>
      </c>
      <c r="T161" s="42" t="s">
        <v>41</v>
      </c>
      <c r="U161" s="43" t="s">
        <v>445</v>
      </c>
      <c r="V161" s="34">
        <f t="shared" si="6"/>
        <v>46004.375</v>
      </c>
      <c r="W161" s="471">
        <f t="shared" si="7"/>
        <v>46004.333333333328</v>
      </c>
      <c r="X161" s="35">
        <f t="shared" si="8"/>
        <v>46004.291666666664</v>
      </c>
    </row>
    <row r="162" spans="1:24" ht="21" customHeight="1" thickBot="1">
      <c r="A162" s="289">
        <v>17</v>
      </c>
      <c r="B162" s="171">
        <v>46011</v>
      </c>
      <c r="C162" s="330">
        <v>46011.416666666664</v>
      </c>
      <c r="D162" s="334">
        <v>46011.625</v>
      </c>
      <c r="E162" s="334">
        <v>46011.75</v>
      </c>
      <c r="F162" s="334">
        <v>46011.791666666664</v>
      </c>
      <c r="G162" s="325">
        <v>46011.958333333336</v>
      </c>
      <c r="H162" s="177" t="s">
        <v>259</v>
      </c>
      <c r="I162" s="174" t="s">
        <v>49</v>
      </c>
      <c r="J162" s="197" t="s">
        <v>2</v>
      </c>
      <c r="K162" s="473"/>
      <c r="L162" s="473"/>
      <c r="M162" s="198" t="s">
        <v>11</v>
      </c>
      <c r="N162" s="456">
        <v>0</v>
      </c>
      <c r="O162" s="457">
        <v>0</v>
      </c>
      <c r="P162" s="457">
        <v>0</v>
      </c>
      <c r="Q162" s="39">
        <v>0</v>
      </c>
      <c r="R162" s="40">
        <v>0</v>
      </c>
      <c r="S162" s="36">
        <v>45865.70045138889</v>
      </c>
      <c r="T162" s="37" t="s">
        <v>41</v>
      </c>
      <c r="U162" s="38" t="s">
        <v>445</v>
      </c>
      <c r="V162" s="56">
        <f t="shared" si="6"/>
        <v>46011.375</v>
      </c>
      <c r="W162" s="57">
        <f t="shared" si="7"/>
        <v>46011.333333333328</v>
      </c>
      <c r="X162" s="58">
        <f t="shared" si="8"/>
        <v>46011.291666666664</v>
      </c>
    </row>
    <row r="163" spans="1:24" ht="21" customHeight="1" thickBot="1">
      <c r="A163" s="290">
        <v>17</v>
      </c>
      <c r="B163" s="172">
        <v>46011</v>
      </c>
      <c r="C163" s="331">
        <v>46011.416666666664</v>
      </c>
      <c r="D163" s="335">
        <v>46011.625</v>
      </c>
      <c r="E163" s="335">
        <v>46011.75</v>
      </c>
      <c r="F163" s="335">
        <v>46011.791666666664</v>
      </c>
      <c r="G163" s="326">
        <v>46011.958333333336</v>
      </c>
      <c r="H163" s="178" t="s">
        <v>480</v>
      </c>
      <c r="I163" s="175" t="s">
        <v>43</v>
      </c>
      <c r="J163" s="188" t="s">
        <v>3</v>
      </c>
      <c r="K163" s="473"/>
      <c r="L163" s="473"/>
      <c r="M163" s="193" t="s">
        <v>5</v>
      </c>
      <c r="N163" s="458">
        <v>0</v>
      </c>
      <c r="O163" s="470">
        <v>0</v>
      </c>
      <c r="P163" s="470">
        <v>0</v>
      </c>
      <c r="Q163" s="45">
        <v>0</v>
      </c>
      <c r="R163" s="46">
        <v>0</v>
      </c>
      <c r="S163" s="41">
        <v>45865.70045138889</v>
      </c>
      <c r="T163" s="42" t="s">
        <v>41</v>
      </c>
      <c r="U163" s="43" t="s">
        <v>445</v>
      </c>
      <c r="V163" s="34">
        <f t="shared" si="6"/>
        <v>46011.375</v>
      </c>
      <c r="W163" s="471">
        <f t="shared" si="7"/>
        <v>46011.333333333328</v>
      </c>
      <c r="X163" s="35">
        <f t="shared" si="8"/>
        <v>46011.291666666664</v>
      </c>
    </row>
    <row r="164" spans="1:24" ht="21" customHeight="1" thickBot="1">
      <c r="A164" s="290">
        <v>17</v>
      </c>
      <c r="B164" s="172">
        <v>46011</v>
      </c>
      <c r="C164" s="331">
        <v>46011.416666666664</v>
      </c>
      <c r="D164" s="335">
        <v>46011.625</v>
      </c>
      <c r="E164" s="335">
        <v>46011.75</v>
      </c>
      <c r="F164" s="335">
        <v>46011.791666666664</v>
      </c>
      <c r="G164" s="326">
        <v>46011.958333333336</v>
      </c>
      <c r="H164" s="178" t="s">
        <v>481</v>
      </c>
      <c r="I164" s="175" t="s">
        <v>217</v>
      </c>
      <c r="J164" s="188" t="s">
        <v>4</v>
      </c>
      <c r="K164" s="473"/>
      <c r="L164" s="473"/>
      <c r="M164" s="193" t="s">
        <v>443</v>
      </c>
      <c r="N164" s="458">
        <v>0</v>
      </c>
      <c r="O164" s="470">
        <v>0</v>
      </c>
      <c r="P164" s="470">
        <v>0</v>
      </c>
      <c r="Q164" s="45">
        <v>0</v>
      </c>
      <c r="R164" s="46">
        <v>0</v>
      </c>
      <c r="S164" s="41">
        <v>45865.70045138889</v>
      </c>
      <c r="T164" s="42" t="s">
        <v>41</v>
      </c>
      <c r="U164" s="43" t="s">
        <v>445</v>
      </c>
      <c r="V164" s="34">
        <f t="shared" si="6"/>
        <v>46011.375</v>
      </c>
      <c r="W164" s="471">
        <f t="shared" si="7"/>
        <v>46011.333333333328</v>
      </c>
      <c r="X164" s="35">
        <f t="shared" si="8"/>
        <v>46011.291666666664</v>
      </c>
    </row>
    <row r="165" spans="1:24" ht="21" customHeight="1" thickBot="1">
      <c r="A165" s="290">
        <v>17</v>
      </c>
      <c r="B165" s="172">
        <v>46011</v>
      </c>
      <c r="C165" s="331">
        <v>46011.416666666664</v>
      </c>
      <c r="D165" s="335">
        <v>46011.625</v>
      </c>
      <c r="E165" s="335">
        <v>46011.75</v>
      </c>
      <c r="F165" s="335">
        <v>46011.791666666664</v>
      </c>
      <c r="G165" s="326">
        <v>46011.958333333336</v>
      </c>
      <c r="H165" s="178" t="s">
        <v>128</v>
      </c>
      <c r="I165" s="175" t="s">
        <v>452</v>
      </c>
      <c r="J165" s="191" t="s">
        <v>8</v>
      </c>
      <c r="K165" s="473"/>
      <c r="L165" s="473"/>
      <c r="M165" s="196" t="s">
        <v>1</v>
      </c>
      <c r="N165" s="458">
        <v>0</v>
      </c>
      <c r="O165" s="470">
        <v>0</v>
      </c>
      <c r="P165" s="470">
        <v>0</v>
      </c>
      <c r="Q165" s="45">
        <v>0</v>
      </c>
      <c r="R165" s="46">
        <v>0</v>
      </c>
      <c r="S165" s="41">
        <v>45865.70045138889</v>
      </c>
      <c r="T165" s="42" t="s">
        <v>41</v>
      </c>
      <c r="U165" s="43" t="s">
        <v>445</v>
      </c>
      <c r="V165" s="34">
        <f t="shared" si="6"/>
        <v>46011.375</v>
      </c>
      <c r="W165" s="471">
        <f t="shared" si="7"/>
        <v>46011.333333333328</v>
      </c>
      <c r="X165" s="35">
        <f t="shared" si="8"/>
        <v>46011.291666666664</v>
      </c>
    </row>
    <row r="166" spans="1:24" ht="21" customHeight="1" thickBot="1">
      <c r="A166" s="290">
        <v>17</v>
      </c>
      <c r="B166" s="172">
        <v>46011</v>
      </c>
      <c r="C166" s="331">
        <v>46011.416666666664</v>
      </c>
      <c r="D166" s="335">
        <v>46011.625</v>
      </c>
      <c r="E166" s="335">
        <v>46011.75</v>
      </c>
      <c r="F166" s="335">
        <v>46011.791666666664</v>
      </c>
      <c r="G166" s="326">
        <v>46011.958333333336</v>
      </c>
      <c r="H166" s="178" t="s">
        <v>359</v>
      </c>
      <c r="I166" s="175" t="s">
        <v>157</v>
      </c>
      <c r="J166" s="188" t="s">
        <v>108</v>
      </c>
      <c r="K166" s="473"/>
      <c r="L166" s="473"/>
      <c r="M166" s="193" t="s">
        <v>188</v>
      </c>
      <c r="N166" s="458">
        <v>0</v>
      </c>
      <c r="O166" s="470">
        <v>0</v>
      </c>
      <c r="P166" s="470">
        <v>0</v>
      </c>
      <c r="Q166" s="45">
        <v>0</v>
      </c>
      <c r="R166" s="46">
        <v>0</v>
      </c>
      <c r="S166" s="41">
        <v>45865.70045138889</v>
      </c>
      <c r="T166" s="42" t="s">
        <v>41</v>
      </c>
      <c r="U166" s="43" t="s">
        <v>445</v>
      </c>
      <c r="V166" s="34">
        <f t="shared" si="6"/>
        <v>46011.375</v>
      </c>
      <c r="W166" s="471">
        <f t="shared" si="7"/>
        <v>46011.333333333328</v>
      </c>
      <c r="X166" s="35">
        <f t="shared" si="8"/>
        <v>46011.291666666664</v>
      </c>
    </row>
    <row r="167" spans="1:24" ht="21" customHeight="1" thickBot="1">
      <c r="A167" s="290">
        <v>17</v>
      </c>
      <c r="B167" s="172">
        <v>46011</v>
      </c>
      <c r="C167" s="331">
        <v>46011.416666666664</v>
      </c>
      <c r="D167" s="335">
        <v>46011.625</v>
      </c>
      <c r="E167" s="335">
        <v>46011.75</v>
      </c>
      <c r="F167" s="335">
        <v>46011.791666666664</v>
      </c>
      <c r="G167" s="326">
        <v>46011.958333333336</v>
      </c>
      <c r="H167" s="178" t="s">
        <v>530</v>
      </c>
      <c r="I167" s="175" t="s">
        <v>449</v>
      </c>
      <c r="J167" s="188" t="s">
        <v>444</v>
      </c>
      <c r="K167" s="473"/>
      <c r="L167" s="473"/>
      <c r="M167" s="193" t="s">
        <v>7</v>
      </c>
      <c r="N167" s="458">
        <v>0</v>
      </c>
      <c r="O167" s="470">
        <v>0</v>
      </c>
      <c r="P167" s="470">
        <v>0</v>
      </c>
      <c r="Q167" s="45">
        <v>0</v>
      </c>
      <c r="R167" s="46">
        <v>0</v>
      </c>
      <c r="S167" s="41">
        <v>45865.70045138889</v>
      </c>
      <c r="T167" s="42" t="s">
        <v>41</v>
      </c>
      <c r="U167" s="43" t="s">
        <v>445</v>
      </c>
      <c r="V167" s="34">
        <f t="shared" si="6"/>
        <v>46011.375</v>
      </c>
      <c r="W167" s="471">
        <f t="shared" si="7"/>
        <v>46011.333333333328</v>
      </c>
      <c r="X167" s="35">
        <f t="shared" si="8"/>
        <v>46011.291666666664</v>
      </c>
    </row>
    <row r="168" spans="1:24" ht="21" customHeight="1" thickBot="1">
      <c r="A168" s="290">
        <v>17</v>
      </c>
      <c r="B168" s="172">
        <v>46011</v>
      </c>
      <c r="C168" s="331">
        <v>46011.416666666664</v>
      </c>
      <c r="D168" s="335">
        <v>46011.625</v>
      </c>
      <c r="E168" s="335">
        <v>46011.75</v>
      </c>
      <c r="F168" s="335">
        <v>46011.791666666664</v>
      </c>
      <c r="G168" s="326">
        <v>46011.958333333336</v>
      </c>
      <c r="H168" s="178" t="s">
        <v>329</v>
      </c>
      <c r="I168" s="175" t="s">
        <v>50</v>
      </c>
      <c r="J168" s="191" t="s">
        <v>10</v>
      </c>
      <c r="K168" s="473"/>
      <c r="L168" s="473"/>
      <c r="M168" s="196" t="s">
        <v>14</v>
      </c>
      <c r="N168" s="458">
        <v>0</v>
      </c>
      <c r="O168" s="470">
        <v>0</v>
      </c>
      <c r="P168" s="470">
        <v>0</v>
      </c>
      <c r="Q168" s="45">
        <v>0</v>
      </c>
      <c r="R168" s="46">
        <v>0</v>
      </c>
      <c r="S168" s="41">
        <v>45865.70045138889</v>
      </c>
      <c r="T168" s="42" t="s">
        <v>41</v>
      </c>
      <c r="U168" s="43" t="s">
        <v>445</v>
      </c>
      <c r="V168" s="34">
        <f t="shared" si="6"/>
        <v>46011.375</v>
      </c>
      <c r="W168" s="471">
        <f t="shared" si="7"/>
        <v>46011.333333333328</v>
      </c>
      <c r="X168" s="35">
        <f t="shared" si="8"/>
        <v>46011.291666666664</v>
      </c>
    </row>
    <row r="169" spans="1:24" ht="21" customHeight="1" thickBot="1">
      <c r="A169" s="290">
        <v>17</v>
      </c>
      <c r="B169" s="172">
        <v>46011</v>
      </c>
      <c r="C169" s="331">
        <v>46011.416666666664</v>
      </c>
      <c r="D169" s="335">
        <v>46011.625</v>
      </c>
      <c r="E169" s="335">
        <v>46011.75</v>
      </c>
      <c r="F169" s="335">
        <v>46011.791666666664</v>
      </c>
      <c r="G169" s="326">
        <v>46011.958333333336</v>
      </c>
      <c r="H169" s="178" t="s">
        <v>419</v>
      </c>
      <c r="I169" s="175" t="s">
        <v>46</v>
      </c>
      <c r="J169" s="188" t="s">
        <v>12</v>
      </c>
      <c r="K169" s="473"/>
      <c r="L169" s="473"/>
      <c r="M169" s="193" t="s">
        <v>6</v>
      </c>
      <c r="N169" s="458">
        <v>0</v>
      </c>
      <c r="O169" s="470">
        <v>0</v>
      </c>
      <c r="P169" s="470">
        <v>0</v>
      </c>
      <c r="Q169" s="45">
        <v>0</v>
      </c>
      <c r="R169" s="46">
        <v>0</v>
      </c>
      <c r="S169" s="41">
        <v>45865.70045138889</v>
      </c>
      <c r="T169" s="42" t="s">
        <v>41</v>
      </c>
      <c r="U169" s="43" t="s">
        <v>445</v>
      </c>
      <c r="V169" s="34">
        <f t="shared" si="6"/>
        <v>46011.375</v>
      </c>
      <c r="W169" s="471">
        <f t="shared" si="7"/>
        <v>46011.333333333328</v>
      </c>
      <c r="X169" s="35">
        <f t="shared" si="8"/>
        <v>46011.291666666664</v>
      </c>
    </row>
    <row r="170" spans="1:24" ht="21" customHeight="1" thickBot="1">
      <c r="A170" s="290">
        <v>17</v>
      </c>
      <c r="B170" s="172">
        <v>46011</v>
      </c>
      <c r="C170" s="331">
        <v>46011.416666666664</v>
      </c>
      <c r="D170" s="335">
        <v>46011.625</v>
      </c>
      <c r="E170" s="335">
        <v>46011.75</v>
      </c>
      <c r="F170" s="335">
        <v>46011.791666666664</v>
      </c>
      <c r="G170" s="326">
        <v>46011.958333333336</v>
      </c>
      <c r="H170" s="178" t="s">
        <v>314</v>
      </c>
      <c r="I170" s="175" t="s">
        <v>45</v>
      </c>
      <c r="J170" s="191" t="s">
        <v>13</v>
      </c>
      <c r="K170" s="473"/>
      <c r="L170" s="473"/>
      <c r="M170" s="196" t="s">
        <v>9</v>
      </c>
      <c r="N170" s="458">
        <v>0</v>
      </c>
      <c r="O170" s="470">
        <v>0</v>
      </c>
      <c r="P170" s="470">
        <v>0</v>
      </c>
      <c r="Q170" s="45">
        <v>0</v>
      </c>
      <c r="R170" s="46">
        <v>0</v>
      </c>
      <c r="S170" s="41">
        <v>45865.70045138889</v>
      </c>
      <c r="T170" s="42" t="s">
        <v>41</v>
      </c>
      <c r="U170" s="43" t="s">
        <v>445</v>
      </c>
      <c r="V170" s="34">
        <f t="shared" si="6"/>
        <v>46011.375</v>
      </c>
      <c r="W170" s="471">
        <f t="shared" si="7"/>
        <v>46011.333333333328</v>
      </c>
      <c r="X170" s="35">
        <f t="shared" si="8"/>
        <v>46011.291666666664</v>
      </c>
    </row>
    <row r="171" spans="1:24" ht="21" customHeight="1" thickBot="1">
      <c r="A171" s="290">
        <v>17</v>
      </c>
      <c r="B171" s="172">
        <v>46011</v>
      </c>
      <c r="C171" s="331">
        <v>46011.416666666664</v>
      </c>
      <c r="D171" s="335">
        <v>46011.625</v>
      </c>
      <c r="E171" s="335">
        <v>46011.75</v>
      </c>
      <c r="F171" s="335">
        <v>46011.791666666664</v>
      </c>
      <c r="G171" s="326">
        <v>46011.958333333336</v>
      </c>
      <c r="H171" s="178" t="s">
        <v>434</v>
      </c>
      <c r="I171" s="175" t="s">
        <v>52</v>
      </c>
      <c r="J171" s="188" t="s">
        <v>15</v>
      </c>
      <c r="K171" s="473"/>
      <c r="L171" s="473"/>
      <c r="M171" s="193" t="s">
        <v>107</v>
      </c>
      <c r="N171" s="458">
        <v>0</v>
      </c>
      <c r="O171" s="470">
        <v>0</v>
      </c>
      <c r="P171" s="470">
        <v>0</v>
      </c>
      <c r="Q171" s="45">
        <v>0</v>
      </c>
      <c r="R171" s="46">
        <v>0</v>
      </c>
      <c r="S171" s="41">
        <v>45865.70045138889</v>
      </c>
      <c r="T171" s="42" t="s">
        <v>41</v>
      </c>
      <c r="U171" s="43" t="s">
        <v>445</v>
      </c>
      <c r="V171" s="34">
        <f t="shared" si="6"/>
        <v>46011.375</v>
      </c>
      <c r="W171" s="471">
        <f t="shared" si="7"/>
        <v>46011.333333333328</v>
      </c>
      <c r="X171" s="35">
        <f t="shared" si="8"/>
        <v>46011.291666666664</v>
      </c>
    </row>
    <row r="172" spans="1:24" ht="21" customHeight="1" thickBot="1">
      <c r="A172" s="289">
        <v>18</v>
      </c>
      <c r="B172" s="171">
        <v>46018</v>
      </c>
      <c r="C172" s="330">
        <v>46018.416666666664</v>
      </c>
      <c r="D172" s="334">
        <v>46018.625</v>
      </c>
      <c r="E172" s="334">
        <v>46018.75</v>
      </c>
      <c r="F172" s="334">
        <v>46018.791666666664</v>
      </c>
      <c r="G172" s="325">
        <v>46018.958333333336</v>
      </c>
      <c r="H172" s="177" t="s">
        <v>230</v>
      </c>
      <c r="I172" s="174" t="s">
        <v>48</v>
      </c>
      <c r="J172" s="187" t="s">
        <v>1</v>
      </c>
      <c r="K172" s="473"/>
      <c r="L172" s="473"/>
      <c r="M172" s="192" t="s">
        <v>4</v>
      </c>
      <c r="N172" s="456">
        <v>0</v>
      </c>
      <c r="O172" s="457">
        <v>0</v>
      </c>
      <c r="P172" s="457">
        <v>0</v>
      </c>
      <c r="Q172" s="39">
        <v>0</v>
      </c>
      <c r="R172" s="40">
        <v>0</v>
      </c>
      <c r="S172" s="36">
        <v>45865.70045138889</v>
      </c>
      <c r="T172" s="37" t="s">
        <v>41</v>
      </c>
      <c r="U172" s="38" t="s">
        <v>445</v>
      </c>
      <c r="V172" s="56">
        <f t="shared" si="6"/>
        <v>46018.375</v>
      </c>
      <c r="W172" s="57">
        <f t="shared" si="7"/>
        <v>46018.333333333328</v>
      </c>
      <c r="X172" s="58">
        <f t="shared" si="8"/>
        <v>46018.291666666664</v>
      </c>
    </row>
    <row r="173" spans="1:24" ht="21" customHeight="1" thickBot="1">
      <c r="A173" s="290">
        <v>18</v>
      </c>
      <c r="B173" s="172">
        <v>46018</v>
      </c>
      <c r="C173" s="331">
        <v>46018.416666666664</v>
      </c>
      <c r="D173" s="335">
        <v>46018.625</v>
      </c>
      <c r="E173" s="335">
        <v>46018.75</v>
      </c>
      <c r="F173" s="335">
        <v>46018.791666666664</v>
      </c>
      <c r="G173" s="326">
        <v>46018.958333333336</v>
      </c>
      <c r="H173" s="178" t="s">
        <v>280</v>
      </c>
      <c r="I173" s="175" t="s">
        <v>172</v>
      </c>
      <c r="J173" s="188" t="s">
        <v>107</v>
      </c>
      <c r="K173" s="473"/>
      <c r="L173" s="473"/>
      <c r="M173" s="193" t="s">
        <v>3</v>
      </c>
      <c r="N173" s="458">
        <v>0</v>
      </c>
      <c r="O173" s="470">
        <v>0</v>
      </c>
      <c r="P173" s="470">
        <v>0</v>
      </c>
      <c r="Q173" s="45">
        <v>0</v>
      </c>
      <c r="R173" s="46">
        <v>0</v>
      </c>
      <c r="S173" s="41">
        <v>45865.70045138889</v>
      </c>
      <c r="T173" s="42" t="s">
        <v>41</v>
      </c>
      <c r="U173" s="43" t="s">
        <v>445</v>
      </c>
      <c r="V173" s="34">
        <f t="shared" si="6"/>
        <v>46018.375</v>
      </c>
      <c r="W173" s="471">
        <f t="shared" si="7"/>
        <v>46018.333333333328</v>
      </c>
      <c r="X173" s="35">
        <f t="shared" si="8"/>
        <v>46018.291666666664</v>
      </c>
    </row>
    <row r="174" spans="1:24" ht="21" customHeight="1" thickBot="1">
      <c r="A174" s="290">
        <v>18</v>
      </c>
      <c r="B174" s="172">
        <v>46018</v>
      </c>
      <c r="C174" s="331">
        <v>46018.416666666664</v>
      </c>
      <c r="D174" s="335">
        <v>46018.625</v>
      </c>
      <c r="E174" s="335">
        <v>46018.75</v>
      </c>
      <c r="F174" s="335">
        <v>46018.791666666664</v>
      </c>
      <c r="G174" s="326">
        <v>46018.958333333336</v>
      </c>
      <c r="H174" s="178" t="s">
        <v>482</v>
      </c>
      <c r="I174" s="175" t="s">
        <v>451</v>
      </c>
      <c r="J174" s="188" t="s">
        <v>5</v>
      </c>
      <c r="K174" s="473"/>
      <c r="L174" s="473"/>
      <c r="M174" s="193" t="s">
        <v>8</v>
      </c>
      <c r="N174" s="458">
        <v>0</v>
      </c>
      <c r="O174" s="470">
        <v>0</v>
      </c>
      <c r="P174" s="470">
        <v>0</v>
      </c>
      <c r="Q174" s="45">
        <v>0</v>
      </c>
      <c r="R174" s="46">
        <v>0</v>
      </c>
      <c r="S174" s="41">
        <v>45865.70045138889</v>
      </c>
      <c r="T174" s="42" t="s">
        <v>41</v>
      </c>
      <c r="U174" s="43" t="s">
        <v>445</v>
      </c>
      <c r="V174" s="34">
        <f t="shared" si="6"/>
        <v>46018.375</v>
      </c>
      <c r="W174" s="471">
        <f t="shared" si="7"/>
        <v>46018.333333333328</v>
      </c>
      <c r="X174" s="35">
        <f t="shared" si="8"/>
        <v>46018.291666666664</v>
      </c>
    </row>
    <row r="175" spans="1:24" ht="21" customHeight="1" thickBot="1">
      <c r="A175" s="290">
        <v>18</v>
      </c>
      <c r="B175" s="172">
        <v>46018</v>
      </c>
      <c r="C175" s="331">
        <v>46018.416666666664</v>
      </c>
      <c r="D175" s="335">
        <v>46018.625</v>
      </c>
      <c r="E175" s="335">
        <v>46018.75</v>
      </c>
      <c r="F175" s="335">
        <v>46018.791666666664</v>
      </c>
      <c r="G175" s="326">
        <v>46018.958333333336</v>
      </c>
      <c r="H175" s="178" t="s">
        <v>117</v>
      </c>
      <c r="I175" s="175" t="s">
        <v>51</v>
      </c>
      <c r="J175" s="190" t="s">
        <v>6</v>
      </c>
      <c r="K175" s="473"/>
      <c r="L175" s="473"/>
      <c r="M175" s="195" t="s">
        <v>2</v>
      </c>
      <c r="N175" s="458">
        <v>0</v>
      </c>
      <c r="O175" s="470">
        <v>0</v>
      </c>
      <c r="P175" s="470">
        <v>0</v>
      </c>
      <c r="Q175" s="45">
        <v>0</v>
      </c>
      <c r="R175" s="46">
        <v>0</v>
      </c>
      <c r="S175" s="41">
        <v>45865.70045138889</v>
      </c>
      <c r="T175" s="42" t="s">
        <v>41</v>
      </c>
      <c r="U175" s="43" t="s">
        <v>445</v>
      </c>
      <c r="V175" s="34">
        <f t="shared" si="6"/>
        <v>46018.375</v>
      </c>
      <c r="W175" s="471">
        <f t="shared" si="7"/>
        <v>46018.333333333328</v>
      </c>
      <c r="X175" s="35">
        <f t="shared" si="8"/>
        <v>46018.291666666664</v>
      </c>
    </row>
    <row r="176" spans="1:24" ht="21" customHeight="1" thickBot="1">
      <c r="A176" s="290">
        <v>18</v>
      </c>
      <c r="B176" s="172">
        <v>46018</v>
      </c>
      <c r="C176" s="331">
        <v>46018.416666666664</v>
      </c>
      <c r="D176" s="335">
        <v>46018.625</v>
      </c>
      <c r="E176" s="335">
        <v>46018.75</v>
      </c>
      <c r="F176" s="335">
        <v>46018.791666666664</v>
      </c>
      <c r="G176" s="326">
        <v>46018.958333333336</v>
      </c>
      <c r="H176" s="178" t="s">
        <v>271</v>
      </c>
      <c r="I176" s="175" t="s">
        <v>44</v>
      </c>
      <c r="J176" s="190" t="s">
        <v>7</v>
      </c>
      <c r="K176" s="473"/>
      <c r="L176" s="473"/>
      <c r="M176" s="195" t="s">
        <v>13</v>
      </c>
      <c r="N176" s="458">
        <v>0</v>
      </c>
      <c r="O176" s="470">
        <v>0</v>
      </c>
      <c r="P176" s="470">
        <v>0</v>
      </c>
      <c r="Q176" s="45">
        <v>0</v>
      </c>
      <c r="R176" s="46">
        <v>0</v>
      </c>
      <c r="S176" s="41">
        <v>45865.70045138889</v>
      </c>
      <c r="T176" s="42" t="s">
        <v>41</v>
      </c>
      <c r="U176" s="43" t="s">
        <v>445</v>
      </c>
      <c r="V176" s="34">
        <f t="shared" si="6"/>
        <v>46018.375</v>
      </c>
      <c r="W176" s="471">
        <f t="shared" si="7"/>
        <v>46018.333333333328</v>
      </c>
      <c r="X176" s="35">
        <f t="shared" si="8"/>
        <v>46018.291666666664</v>
      </c>
    </row>
    <row r="177" spans="1:24" ht="21" customHeight="1" thickBot="1">
      <c r="A177" s="290">
        <v>18</v>
      </c>
      <c r="B177" s="172">
        <v>46018</v>
      </c>
      <c r="C177" s="331">
        <v>46018.416666666664</v>
      </c>
      <c r="D177" s="335">
        <v>46018.625</v>
      </c>
      <c r="E177" s="335">
        <v>46018.75</v>
      </c>
      <c r="F177" s="335">
        <v>46018.791666666664</v>
      </c>
      <c r="G177" s="326">
        <v>46018.958333333336</v>
      </c>
      <c r="H177" s="178" t="s">
        <v>360</v>
      </c>
      <c r="I177" s="175" t="s">
        <v>40</v>
      </c>
      <c r="J177" s="190" t="s">
        <v>9</v>
      </c>
      <c r="K177" s="473"/>
      <c r="L177" s="473"/>
      <c r="M177" s="195" t="s">
        <v>15</v>
      </c>
      <c r="N177" s="458">
        <v>0</v>
      </c>
      <c r="O177" s="470">
        <v>0</v>
      </c>
      <c r="P177" s="470">
        <v>0</v>
      </c>
      <c r="Q177" s="45">
        <v>0</v>
      </c>
      <c r="R177" s="46">
        <v>0</v>
      </c>
      <c r="S177" s="41">
        <v>45865.70045138889</v>
      </c>
      <c r="T177" s="42" t="s">
        <v>41</v>
      </c>
      <c r="U177" s="43" t="s">
        <v>445</v>
      </c>
      <c r="V177" s="34">
        <f t="shared" si="6"/>
        <v>46018.375</v>
      </c>
      <c r="W177" s="471">
        <f t="shared" si="7"/>
        <v>46018.333333333328</v>
      </c>
      <c r="X177" s="35">
        <f t="shared" si="8"/>
        <v>46018.291666666664</v>
      </c>
    </row>
    <row r="178" spans="1:24" ht="21" customHeight="1" thickBot="1">
      <c r="A178" s="290">
        <v>18</v>
      </c>
      <c r="B178" s="172">
        <v>46018</v>
      </c>
      <c r="C178" s="331">
        <v>46018.416666666664</v>
      </c>
      <c r="D178" s="335">
        <v>46018.625</v>
      </c>
      <c r="E178" s="335">
        <v>46018.75</v>
      </c>
      <c r="F178" s="335">
        <v>46018.791666666664</v>
      </c>
      <c r="G178" s="326">
        <v>46018.958333333336</v>
      </c>
      <c r="H178" s="178" t="s">
        <v>326</v>
      </c>
      <c r="I178" s="175" t="s">
        <v>47</v>
      </c>
      <c r="J178" s="190" t="s">
        <v>11</v>
      </c>
      <c r="K178" s="473"/>
      <c r="L178" s="473"/>
      <c r="M178" s="195" t="s">
        <v>12</v>
      </c>
      <c r="N178" s="458">
        <v>0</v>
      </c>
      <c r="O178" s="470">
        <v>0</v>
      </c>
      <c r="P178" s="470">
        <v>0</v>
      </c>
      <c r="Q178" s="45">
        <v>0</v>
      </c>
      <c r="R178" s="46">
        <v>0</v>
      </c>
      <c r="S178" s="41">
        <v>45865.70045138889</v>
      </c>
      <c r="T178" s="42" t="s">
        <v>41</v>
      </c>
      <c r="U178" s="43" t="s">
        <v>445</v>
      </c>
      <c r="V178" s="34">
        <f t="shared" si="6"/>
        <v>46018.375</v>
      </c>
      <c r="W178" s="471">
        <f t="shared" si="7"/>
        <v>46018.333333333328</v>
      </c>
      <c r="X178" s="35">
        <f t="shared" si="8"/>
        <v>46018.291666666664</v>
      </c>
    </row>
    <row r="179" spans="1:24" ht="21" customHeight="1" thickBot="1">
      <c r="A179" s="290">
        <v>18</v>
      </c>
      <c r="B179" s="172">
        <v>46018</v>
      </c>
      <c r="C179" s="331">
        <v>46018.416666666664</v>
      </c>
      <c r="D179" s="335">
        <v>46018.625</v>
      </c>
      <c r="E179" s="335">
        <v>46018.75</v>
      </c>
      <c r="F179" s="335">
        <v>46018.791666666664</v>
      </c>
      <c r="G179" s="326">
        <v>46018.958333333336</v>
      </c>
      <c r="H179" s="178" t="s">
        <v>376</v>
      </c>
      <c r="I179" s="175" t="s">
        <v>158</v>
      </c>
      <c r="J179" s="188" t="s">
        <v>188</v>
      </c>
      <c r="K179" s="473"/>
      <c r="L179" s="473"/>
      <c r="M179" s="193" t="s">
        <v>10</v>
      </c>
      <c r="N179" s="458">
        <v>0</v>
      </c>
      <c r="O179" s="470">
        <v>0</v>
      </c>
      <c r="P179" s="470">
        <v>0</v>
      </c>
      <c r="Q179" s="45">
        <v>0</v>
      </c>
      <c r="R179" s="46">
        <v>0</v>
      </c>
      <c r="S179" s="41">
        <v>45865.70045138889</v>
      </c>
      <c r="T179" s="42" t="s">
        <v>41</v>
      </c>
      <c r="U179" s="43" t="s">
        <v>445</v>
      </c>
      <c r="V179" s="34">
        <f t="shared" si="6"/>
        <v>46018.375</v>
      </c>
      <c r="W179" s="471">
        <f t="shared" si="7"/>
        <v>46018.333333333328</v>
      </c>
      <c r="X179" s="35">
        <f t="shared" si="8"/>
        <v>46018.291666666664</v>
      </c>
    </row>
    <row r="180" spans="1:24" ht="21" customHeight="1" thickBot="1">
      <c r="A180" s="290">
        <v>18</v>
      </c>
      <c r="B180" s="172">
        <v>46018</v>
      </c>
      <c r="C180" s="331">
        <v>46018.416666666664</v>
      </c>
      <c r="D180" s="335">
        <v>46018.625</v>
      </c>
      <c r="E180" s="335">
        <v>46018.75</v>
      </c>
      <c r="F180" s="335">
        <v>46018.791666666664</v>
      </c>
      <c r="G180" s="326">
        <v>46018.958333333336</v>
      </c>
      <c r="H180" s="178" t="s">
        <v>531</v>
      </c>
      <c r="I180" s="175" t="s">
        <v>448</v>
      </c>
      <c r="J180" s="190" t="s">
        <v>443</v>
      </c>
      <c r="K180" s="473"/>
      <c r="L180" s="473"/>
      <c r="M180" s="195" t="s">
        <v>444</v>
      </c>
      <c r="N180" s="458">
        <v>0</v>
      </c>
      <c r="O180" s="470">
        <v>0</v>
      </c>
      <c r="P180" s="470">
        <v>0</v>
      </c>
      <c r="Q180" s="45">
        <v>0</v>
      </c>
      <c r="R180" s="46">
        <v>0</v>
      </c>
      <c r="S180" s="41">
        <v>45865.70045138889</v>
      </c>
      <c r="T180" s="42" t="s">
        <v>41</v>
      </c>
      <c r="U180" s="43" t="s">
        <v>445</v>
      </c>
      <c r="V180" s="34">
        <f t="shared" si="6"/>
        <v>46018.375</v>
      </c>
      <c r="W180" s="471">
        <f t="shared" si="7"/>
        <v>46018.333333333328</v>
      </c>
      <c r="X180" s="35">
        <f t="shared" si="8"/>
        <v>46018.291666666664</v>
      </c>
    </row>
    <row r="181" spans="1:24" ht="21" customHeight="1" thickBot="1">
      <c r="A181" s="290">
        <v>18</v>
      </c>
      <c r="B181" s="172">
        <v>46018</v>
      </c>
      <c r="C181" s="331">
        <v>46018.416666666664</v>
      </c>
      <c r="D181" s="335">
        <v>46018.625</v>
      </c>
      <c r="E181" s="335">
        <v>46018.75</v>
      </c>
      <c r="F181" s="335">
        <v>46018.791666666664</v>
      </c>
      <c r="G181" s="326">
        <v>46018.958333333336</v>
      </c>
      <c r="H181" s="178" t="s">
        <v>335</v>
      </c>
      <c r="I181" s="175" t="s">
        <v>42</v>
      </c>
      <c r="J181" s="190" t="s">
        <v>14</v>
      </c>
      <c r="K181" s="473"/>
      <c r="L181" s="473"/>
      <c r="M181" s="195" t="s">
        <v>108</v>
      </c>
      <c r="N181" s="458">
        <v>0</v>
      </c>
      <c r="O181" s="470">
        <v>0</v>
      </c>
      <c r="P181" s="470">
        <v>0</v>
      </c>
      <c r="Q181" s="45">
        <v>0</v>
      </c>
      <c r="R181" s="46">
        <v>0</v>
      </c>
      <c r="S181" s="41">
        <v>45865.70045138889</v>
      </c>
      <c r="T181" s="42" t="s">
        <v>41</v>
      </c>
      <c r="U181" s="43" t="s">
        <v>445</v>
      </c>
      <c r="V181" s="34">
        <f t="shared" si="6"/>
        <v>46018.375</v>
      </c>
      <c r="W181" s="471">
        <f t="shared" si="7"/>
        <v>46018.333333333328</v>
      </c>
      <c r="X181" s="35">
        <f t="shared" si="8"/>
        <v>46018.291666666664</v>
      </c>
    </row>
    <row r="182" spans="1:24" ht="21" customHeight="1" thickBot="1">
      <c r="A182" s="289">
        <v>19</v>
      </c>
      <c r="B182" s="171">
        <v>46021</v>
      </c>
      <c r="C182" s="330">
        <v>46021.625</v>
      </c>
      <c r="D182" s="334">
        <v>46021.833333333336</v>
      </c>
      <c r="E182" s="334">
        <v>46021.958333333336</v>
      </c>
      <c r="F182" s="334">
        <v>46022</v>
      </c>
      <c r="G182" s="325">
        <v>46022.166666666664</v>
      </c>
      <c r="H182" s="177" t="s">
        <v>123</v>
      </c>
      <c r="I182" s="174" t="s">
        <v>48</v>
      </c>
      <c r="J182" s="197" t="s">
        <v>1</v>
      </c>
      <c r="K182" s="473"/>
      <c r="L182" s="473"/>
      <c r="M182" s="198" t="s">
        <v>2</v>
      </c>
      <c r="N182" s="456">
        <v>0</v>
      </c>
      <c r="O182" s="457">
        <v>0</v>
      </c>
      <c r="P182" s="457">
        <v>0</v>
      </c>
      <c r="Q182" s="39">
        <v>0</v>
      </c>
      <c r="R182" s="40">
        <v>0</v>
      </c>
      <c r="S182" s="36">
        <v>45865.70045138889</v>
      </c>
      <c r="T182" s="37" t="s">
        <v>41</v>
      </c>
      <c r="U182" s="38" t="s">
        <v>445</v>
      </c>
      <c r="V182" s="56">
        <f t="shared" si="6"/>
        <v>46021.583333333336</v>
      </c>
      <c r="W182" s="57">
        <f t="shared" si="7"/>
        <v>46021.541666666664</v>
      </c>
      <c r="X182" s="58">
        <f t="shared" si="8"/>
        <v>46021.5</v>
      </c>
    </row>
    <row r="183" spans="1:24" ht="21" customHeight="1" thickBot="1">
      <c r="A183" s="290">
        <v>19</v>
      </c>
      <c r="B183" s="172">
        <v>46021</v>
      </c>
      <c r="C183" s="331">
        <v>46021.625</v>
      </c>
      <c r="D183" s="335">
        <v>46021.833333333336</v>
      </c>
      <c r="E183" s="335">
        <v>46021.958333333336</v>
      </c>
      <c r="F183" s="335">
        <v>46022</v>
      </c>
      <c r="G183" s="326">
        <v>46022.166666666664</v>
      </c>
      <c r="H183" s="178" t="s">
        <v>352</v>
      </c>
      <c r="I183" s="175" t="s">
        <v>172</v>
      </c>
      <c r="J183" s="191" t="s">
        <v>107</v>
      </c>
      <c r="K183" s="473"/>
      <c r="L183" s="473"/>
      <c r="M183" s="196" t="s">
        <v>13</v>
      </c>
      <c r="N183" s="458">
        <v>0</v>
      </c>
      <c r="O183" s="470">
        <v>0</v>
      </c>
      <c r="P183" s="470">
        <v>0</v>
      </c>
      <c r="Q183" s="45">
        <v>0</v>
      </c>
      <c r="R183" s="46">
        <v>0</v>
      </c>
      <c r="S183" s="41">
        <v>45865.70045138889</v>
      </c>
      <c r="T183" s="42" t="s">
        <v>41</v>
      </c>
      <c r="U183" s="43" t="s">
        <v>445</v>
      </c>
      <c r="V183" s="34">
        <f t="shared" si="6"/>
        <v>46021.583333333336</v>
      </c>
      <c r="W183" s="471">
        <f t="shared" si="7"/>
        <v>46021.541666666664</v>
      </c>
      <c r="X183" s="35">
        <f t="shared" si="8"/>
        <v>46021.5</v>
      </c>
    </row>
    <row r="184" spans="1:24" ht="21" customHeight="1" thickBot="1">
      <c r="A184" s="290">
        <v>19</v>
      </c>
      <c r="B184" s="172">
        <v>46021</v>
      </c>
      <c r="C184" s="331">
        <v>46021.625</v>
      </c>
      <c r="D184" s="335">
        <v>46021.833333333336</v>
      </c>
      <c r="E184" s="335">
        <v>46021.958333333336</v>
      </c>
      <c r="F184" s="335">
        <v>46022</v>
      </c>
      <c r="G184" s="326">
        <v>46022.166666666664</v>
      </c>
      <c r="H184" s="178" t="s">
        <v>483</v>
      </c>
      <c r="I184" s="175" t="s">
        <v>451</v>
      </c>
      <c r="J184" s="190" t="s">
        <v>5</v>
      </c>
      <c r="K184" s="473"/>
      <c r="L184" s="473"/>
      <c r="M184" s="195" t="s">
        <v>12</v>
      </c>
      <c r="N184" s="458">
        <v>0</v>
      </c>
      <c r="O184" s="470">
        <v>0</v>
      </c>
      <c r="P184" s="470">
        <v>0</v>
      </c>
      <c r="Q184" s="45">
        <v>0</v>
      </c>
      <c r="R184" s="46">
        <v>0</v>
      </c>
      <c r="S184" s="41">
        <v>45865.70045138889</v>
      </c>
      <c r="T184" s="42" t="s">
        <v>41</v>
      </c>
      <c r="U184" s="43" t="s">
        <v>445</v>
      </c>
      <c r="V184" s="34">
        <f t="shared" si="6"/>
        <v>46021.583333333336</v>
      </c>
      <c r="W184" s="471">
        <f t="shared" si="7"/>
        <v>46021.541666666664</v>
      </c>
      <c r="X184" s="35">
        <f t="shared" si="8"/>
        <v>46021.5</v>
      </c>
    </row>
    <row r="185" spans="1:24" ht="21" customHeight="1" thickBot="1">
      <c r="A185" s="290">
        <v>19</v>
      </c>
      <c r="B185" s="172">
        <v>46021</v>
      </c>
      <c r="C185" s="331">
        <v>46021.625</v>
      </c>
      <c r="D185" s="335">
        <v>46021.833333333336</v>
      </c>
      <c r="E185" s="335">
        <v>46021.958333333336</v>
      </c>
      <c r="F185" s="335">
        <v>46022</v>
      </c>
      <c r="G185" s="326">
        <v>46022.166666666664</v>
      </c>
      <c r="H185" s="178" t="s">
        <v>334</v>
      </c>
      <c r="I185" s="175" t="s">
        <v>51</v>
      </c>
      <c r="J185" s="188" t="s">
        <v>6</v>
      </c>
      <c r="K185" s="473"/>
      <c r="L185" s="473"/>
      <c r="M185" s="193" t="s">
        <v>3</v>
      </c>
      <c r="N185" s="458">
        <v>0</v>
      </c>
      <c r="O185" s="470">
        <v>0</v>
      </c>
      <c r="P185" s="470">
        <v>0</v>
      </c>
      <c r="Q185" s="45">
        <v>0</v>
      </c>
      <c r="R185" s="46">
        <v>0</v>
      </c>
      <c r="S185" s="41">
        <v>45865.70045138889</v>
      </c>
      <c r="T185" s="42" t="s">
        <v>41</v>
      </c>
      <c r="U185" s="43" t="s">
        <v>445</v>
      </c>
      <c r="V185" s="34">
        <f t="shared" si="6"/>
        <v>46021.583333333336</v>
      </c>
      <c r="W185" s="471">
        <f t="shared" si="7"/>
        <v>46021.541666666664</v>
      </c>
      <c r="X185" s="35">
        <f t="shared" si="8"/>
        <v>46021.5</v>
      </c>
    </row>
    <row r="186" spans="1:24" ht="21" customHeight="1" thickBot="1">
      <c r="A186" s="290">
        <v>19</v>
      </c>
      <c r="B186" s="172">
        <v>46021</v>
      </c>
      <c r="C186" s="331">
        <v>46021.625</v>
      </c>
      <c r="D186" s="335">
        <v>46021.833333333336</v>
      </c>
      <c r="E186" s="335">
        <v>46021.958333333336</v>
      </c>
      <c r="F186" s="335">
        <v>46022</v>
      </c>
      <c r="G186" s="326">
        <v>46022.166666666664</v>
      </c>
      <c r="H186" s="178" t="s">
        <v>164</v>
      </c>
      <c r="I186" s="175" t="s">
        <v>44</v>
      </c>
      <c r="J186" s="188" t="s">
        <v>7</v>
      </c>
      <c r="K186" s="473"/>
      <c r="L186" s="473"/>
      <c r="M186" s="193" t="s">
        <v>108</v>
      </c>
      <c r="N186" s="458">
        <v>0</v>
      </c>
      <c r="O186" s="470">
        <v>0</v>
      </c>
      <c r="P186" s="470">
        <v>0</v>
      </c>
      <c r="Q186" s="45">
        <v>0</v>
      </c>
      <c r="R186" s="46">
        <v>0</v>
      </c>
      <c r="S186" s="41">
        <v>45865.70045138889</v>
      </c>
      <c r="T186" s="42" t="s">
        <v>41</v>
      </c>
      <c r="U186" s="43" t="s">
        <v>445</v>
      </c>
      <c r="V186" s="34">
        <f t="shared" si="6"/>
        <v>46021.583333333336</v>
      </c>
      <c r="W186" s="471">
        <f t="shared" si="7"/>
        <v>46021.541666666664</v>
      </c>
      <c r="X186" s="35">
        <f t="shared" si="8"/>
        <v>46021.5</v>
      </c>
    </row>
    <row r="187" spans="1:24" ht="21" customHeight="1" thickBot="1">
      <c r="A187" s="290">
        <v>19</v>
      </c>
      <c r="B187" s="172">
        <v>46021</v>
      </c>
      <c r="C187" s="331">
        <v>46021.625</v>
      </c>
      <c r="D187" s="335">
        <v>46021.833333333336</v>
      </c>
      <c r="E187" s="335">
        <v>46021.958333333336</v>
      </c>
      <c r="F187" s="335">
        <v>46022</v>
      </c>
      <c r="G187" s="326">
        <v>46022.166666666664</v>
      </c>
      <c r="H187" s="178" t="s">
        <v>532</v>
      </c>
      <c r="I187" s="175" t="s">
        <v>40</v>
      </c>
      <c r="J187" s="191" t="s">
        <v>9</v>
      </c>
      <c r="K187" s="473"/>
      <c r="L187" s="473"/>
      <c r="M187" s="196" t="s">
        <v>444</v>
      </c>
      <c r="N187" s="458">
        <v>0</v>
      </c>
      <c r="O187" s="470">
        <v>0</v>
      </c>
      <c r="P187" s="470">
        <v>0</v>
      </c>
      <c r="Q187" s="45">
        <v>0</v>
      </c>
      <c r="R187" s="46">
        <v>0</v>
      </c>
      <c r="S187" s="41">
        <v>45865.70045138889</v>
      </c>
      <c r="T187" s="42" t="s">
        <v>41</v>
      </c>
      <c r="U187" s="43" t="s">
        <v>445</v>
      </c>
      <c r="V187" s="34">
        <f t="shared" si="6"/>
        <v>46021.583333333336</v>
      </c>
      <c r="W187" s="471">
        <f t="shared" si="7"/>
        <v>46021.541666666664</v>
      </c>
      <c r="X187" s="35">
        <f t="shared" si="8"/>
        <v>46021.5</v>
      </c>
    </row>
    <row r="188" spans="1:24" ht="21" customHeight="1" thickBot="1">
      <c r="A188" s="290">
        <v>19</v>
      </c>
      <c r="B188" s="172">
        <v>46021</v>
      </c>
      <c r="C188" s="331">
        <v>46021.625</v>
      </c>
      <c r="D188" s="335">
        <v>46021.833333333336</v>
      </c>
      <c r="E188" s="335">
        <v>46021.958333333336</v>
      </c>
      <c r="F188" s="335">
        <v>46022</v>
      </c>
      <c r="G188" s="326">
        <v>46022.166666666664</v>
      </c>
      <c r="H188" s="178" t="s">
        <v>404</v>
      </c>
      <c r="I188" s="175" t="s">
        <v>47</v>
      </c>
      <c r="J188" s="191" t="s">
        <v>11</v>
      </c>
      <c r="K188" s="473"/>
      <c r="L188" s="473"/>
      <c r="M188" s="193" t="s">
        <v>15</v>
      </c>
      <c r="N188" s="458">
        <v>0</v>
      </c>
      <c r="O188" s="470">
        <v>0</v>
      </c>
      <c r="P188" s="470">
        <v>0</v>
      </c>
      <c r="Q188" s="45">
        <v>0</v>
      </c>
      <c r="R188" s="46">
        <v>0</v>
      </c>
      <c r="S188" s="41">
        <v>45865.70045138889</v>
      </c>
      <c r="T188" s="42" t="s">
        <v>41</v>
      </c>
      <c r="U188" s="43" t="s">
        <v>445</v>
      </c>
      <c r="V188" s="34">
        <f t="shared" si="6"/>
        <v>46021.583333333336</v>
      </c>
      <c r="W188" s="471">
        <f t="shared" si="7"/>
        <v>46021.541666666664</v>
      </c>
      <c r="X188" s="35">
        <f t="shared" si="8"/>
        <v>46021.5</v>
      </c>
    </row>
    <row r="189" spans="1:24" ht="21" customHeight="1" thickBot="1">
      <c r="A189" s="290">
        <v>19</v>
      </c>
      <c r="B189" s="172">
        <v>46021</v>
      </c>
      <c r="C189" s="331">
        <v>46021.625</v>
      </c>
      <c r="D189" s="335">
        <v>46021.833333333336</v>
      </c>
      <c r="E189" s="335">
        <v>46021.958333333336</v>
      </c>
      <c r="F189" s="335">
        <v>46022</v>
      </c>
      <c r="G189" s="326">
        <v>46022.166666666664</v>
      </c>
      <c r="H189" s="178" t="s">
        <v>398</v>
      </c>
      <c r="I189" s="175" t="s">
        <v>158</v>
      </c>
      <c r="J189" s="191" t="s">
        <v>188</v>
      </c>
      <c r="K189" s="473"/>
      <c r="L189" s="473"/>
      <c r="M189" s="193" t="s">
        <v>8</v>
      </c>
      <c r="N189" s="458">
        <v>0</v>
      </c>
      <c r="O189" s="470">
        <v>0</v>
      </c>
      <c r="P189" s="470">
        <v>0</v>
      </c>
      <c r="Q189" s="45">
        <v>0</v>
      </c>
      <c r="R189" s="46">
        <v>0</v>
      </c>
      <c r="S189" s="41">
        <v>45865.70045138889</v>
      </c>
      <c r="T189" s="42" t="s">
        <v>41</v>
      </c>
      <c r="U189" s="43" t="s">
        <v>445</v>
      </c>
      <c r="V189" s="34">
        <f t="shared" si="6"/>
        <v>46021.583333333336</v>
      </c>
      <c r="W189" s="471">
        <f t="shared" si="7"/>
        <v>46021.541666666664</v>
      </c>
      <c r="X189" s="35">
        <f t="shared" si="8"/>
        <v>46021.5</v>
      </c>
    </row>
    <row r="190" spans="1:24" ht="21" customHeight="1" thickBot="1">
      <c r="A190" s="290">
        <v>19</v>
      </c>
      <c r="B190" s="172">
        <v>46021</v>
      </c>
      <c r="C190" s="331">
        <v>46021.625</v>
      </c>
      <c r="D190" s="335">
        <v>46021.833333333336</v>
      </c>
      <c r="E190" s="335">
        <v>46021.958333333336</v>
      </c>
      <c r="F190" s="335">
        <v>46022</v>
      </c>
      <c r="G190" s="326">
        <v>46022.166666666664</v>
      </c>
      <c r="H190" s="178" t="s">
        <v>484</v>
      </c>
      <c r="I190" s="175" t="s">
        <v>448</v>
      </c>
      <c r="J190" s="188" t="s">
        <v>443</v>
      </c>
      <c r="K190" s="473"/>
      <c r="L190" s="473"/>
      <c r="M190" s="195" t="s">
        <v>10</v>
      </c>
      <c r="N190" s="458">
        <v>0</v>
      </c>
      <c r="O190" s="470">
        <v>0</v>
      </c>
      <c r="P190" s="470">
        <v>0</v>
      </c>
      <c r="Q190" s="45">
        <v>0</v>
      </c>
      <c r="R190" s="46">
        <v>0</v>
      </c>
      <c r="S190" s="41">
        <v>45865.70045138889</v>
      </c>
      <c r="T190" s="42" t="s">
        <v>41</v>
      </c>
      <c r="U190" s="43" t="s">
        <v>445</v>
      </c>
      <c r="V190" s="34">
        <f t="shared" si="6"/>
        <v>46021.583333333336</v>
      </c>
      <c r="W190" s="471">
        <f t="shared" si="7"/>
        <v>46021.541666666664</v>
      </c>
      <c r="X190" s="35">
        <f t="shared" si="8"/>
        <v>46021.5</v>
      </c>
    </row>
    <row r="191" spans="1:24" ht="21" customHeight="1" thickBot="1">
      <c r="A191" s="290">
        <v>19</v>
      </c>
      <c r="B191" s="172">
        <v>46021</v>
      </c>
      <c r="C191" s="331">
        <v>46021.625</v>
      </c>
      <c r="D191" s="335">
        <v>46021.833333333336</v>
      </c>
      <c r="E191" s="335">
        <v>46021.958333333336</v>
      </c>
      <c r="F191" s="335">
        <v>46022</v>
      </c>
      <c r="G191" s="326">
        <v>46022.166666666664</v>
      </c>
      <c r="H191" s="178" t="s">
        <v>312</v>
      </c>
      <c r="I191" s="175" t="s">
        <v>42</v>
      </c>
      <c r="J191" s="191" t="s">
        <v>14</v>
      </c>
      <c r="K191" s="473"/>
      <c r="L191" s="473"/>
      <c r="M191" s="196" t="s">
        <v>4</v>
      </c>
      <c r="N191" s="458">
        <v>0</v>
      </c>
      <c r="O191" s="470">
        <v>0</v>
      </c>
      <c r="P191" s="470">
        <v>0</v>
      </c>
      <c r="Q191" s="45">
        <v>0</v>
      </c>
      <c r="R191" s="46">
        <v>0</v>
      </c>
      <c r="S191" s="41">
        <v>45865.70045138889</v>
      </c>
      <c r="T191" s="42" t="s">
        <v>41</v>
      </c>
      <c r="U191" s="43" t="s">
        <v>445</v>
      </c>
      <c r="V191" s="34">
        <f t="shared" si="6"/>
        <v>46021.583333333336</v>
      </c>
      <c r="W191" s="471">
        <f t="shared" si="7"/>
        <v>46021.541666666664</v>
      </c>
      <c r="X191" s="35">
        <f t="shared" si="8"/>
        <v>46021.5</v>
      </c>
    </row>
    <row r="192" spans="1:24" ht="21" customHeight="1" thickBot="1">
      <c r="A192" s="289">
        <v>20</v>
      </c>
      <c r="B192" s="171">
        <v>46025</v>
      </c>
      <c r="C192" s="330">
        <v>46025.416666666664</v>
      </c>
      <c r="D192" s="334">
        <v>46025.625</v>
      </c>
      <c r="E192" s="334">
        <v>46025.75</v>
      </c>
      <c r="F192" s="334">
        <v>46025.791666666664</v>
      </c>
      <c r="G192" s="325">
        <v>46025.958333333336</v>
      </c>
      <c r="H192" s="177" t="s">
        <v>390</v>
      </c>
      <c r="I192" s="174" t="s">
        <v>49</v>
      </c>
      <c r="J192" s="197" t="s">
        <v>2</v>
      </c>
      <c r="K192" s="473"/>
      <c r="L192" s="473"/>
      <c r="M192" s="198" t="s">
        <v>188</v>
      </c>
      <c r="N192" s="456">
        <v>0</v>
      </c>
      <c r="O192" s="457">
        <v>0</v>
      </c>
      <c r="P192" s="457">
        <v>0</v>
      </c>
      <c r="Q192" s="39">
        <v>0</v>
      </c>
      <c r="R192" s="40">
        <v>0</v>
      </c>
      <c r="S192" s="36">
        <v>45865.70045138889</v>
      </c>
      <c r="T192" s="37" t="s">
        <v>41</v>
      </c>
      <c r="U192" s="38" t="s">
        <v>445</v>
      </c>
      <c r="V192" s="56">
        <f t="shared" si="6"/>
        <v>46025.375</v>
      </c>
      <c r="W192" s="57">
        <f t="shared" si="7"/>
        <v>46025.333333333328</v>
      </c>
      <c r="X192" s="58">
        <f t="shared" si="8"/>
        <v>46025.291666666664</v>
      </c>
    </row>
    <row r="193" spans="1:24" ht="21" customHeight="1" thickBot="1">
      <c r="A193" s="290">
        <v>20</v>
      </c>
      <c r="B193" s="172">
        <v>46025</v>
      </c>
      <c r="C193" s="331">
        <v>46025.416666666664</v>
      </c>
      <c r="D193" s="335">
        <v>46025.625</v>
      </c>
      <c r="E193" s="335">
        <v>46025.75</v>
      </c>
      <c r="F193" s="335">
        <v>46025.791666666664</v>
      </c>
      <c r="G193" s="326">
        <v>46025.958333333336</v>
      </c>
      <c r="H193" s="178" t="s">
        <v>265</v>
      </c>
      <c r="I193" s="175" t="s">
        <v>43</v>
      </c>
      <c r="J193" s="188" t="s">
        <v>3</v>
      </c>
      <c r="K193" s="473"/>
      <c r="L193" s="473"/>
      <c r="M193" s="193" t="s">
        <v>1</v>
      </c>
      <c r="N193" s="458">
        <v>0</v>
      </c>
      <c r="O193" s="470">
        <v>0</v>
      </c>
      <c r="P193" s="470">
        <v>0</v>
      </c>
      <c r="Q193" s="45">
        <v>0</v>
      </c>
      <c r="R193" s="46">
        <v>0</v>
      </c>
      <c r="S193" s="41">
        <v>45865.70045138889</v>
      </c>
      <c r="T193" s="42" t="s">
        <v>41</v>
      </c>
      <c r="U193" s="43" t="s">
        <v>445</v>
      </c>
      <c r="V193" s="34">
        <f t="shared" si="6"/>
        <v>46025.375</v>
      </c>
      <c r="W193" s="471">
        <f t="shared" si="7"/>
        <v>46025.333333333328</v>
      </c>
      <c r="X193" s="35">
        <f t="shared" si="8"/>
        <v>46025.291666666664</v>
      </c>
    </row>
    <row r="194" spans="1:24" ht="21" customHeight="1" thickBot="1">
      <c r="A194" s="290">
        <v>20</v>
      </c>
      <c r="B194" s="172">
        <v>46025</v>
      </c>
      <c r="C194" s="331">
        <v>46025.416666666664</v>
      </c>
      <c r="D194" s="335">
        <v>46025.625</v>
      </c>
      <c r="E194" s="335">
        <v>46025.75</v>
      </c>
      <c r="F194" s="335">
        <v>46025.791666666664</v>
      </c>
      <c r="G194" s="326">
        <v>46025.958333333336</v>
      </c>
      <c r="H194" s="178" t="s">
        <v>485</v>
      </c>
      <c r="I194" s="175" t="s">
        <v>217</v>
      </c>
      <c r="J194" s="188" t="s">
        <v>4</v>
      </c>
      <c r="K194" s="473"/>
      <c r="L194" s="473"/>
      <c r="M194" s="193" t="s">
        <v>5</v>
      </c>
      <c r="N194" s="458">
        <v>0</v>
      </c>
      <c r="O194" s="470">
        <v>0</v>
      </c>
      <c r="P194" s="470">
        <v>0</v>
      </c>
      <c r="Q194" s="45">
        <v>0</v>
      </c>
      <c r="R194" s="46">
        <v>0</v>
      </c>
      <c r="S194" s="41">
        <v>45865.70045138889</v>
      </c>
      <c r="T194" s="42" t="s">
        <v>41</v>
      </c>
      <c r="U194" s="43" t="s">
        <v>445</v>
      </c>
      <c r="V194" s="34">
        <f t="shared" ref="V194:V257" si="9">IF(C194&lt;&gt;"TBC",C194-1/24,"TBC")</f>
        <v>46025.375</v>
      </c>
      <c r="W194" s="471">
        <f t="shared" ref="W194:W257" si="10">IF(C194&lt;&gt;"TBC",C194-1/12,"TBC")</f>
        <v>46025.333333333328</v>
      </c>
      <c r="X194" s="35">
        <f t="shared" ref="X194:X257" si="11">IF(C194&lt;&gt;"TBC",C194-1/8,"TBC")</f>
        <v>46025.291666666664</v>
      </c>
    </row>
    <row r="195" spans="1:24" ht="21" customHeight="1" thickBot="1">
      <c r="A195" s="290">
        <v>20</v>
      </c>
      <c r="B195" s="172">
        <v>46025</v>
      </c>
      <c r="C195" s="331">
        <v>46025.416666666664</v>
      </c>
      <c r="D195" s="335">
        <v>46025.625</v>
      </c>
      <c r="E195" s="335">
        <v>46025.75</v>
      </c>
      <c r="F195" s="335">
        <v>46025.791666666664</v>
      </c>
      <c r="G195" s="326">
        <v>46025.958333333336</v>
      </c>
      <c r="H195" s="178" t="s">
        <v>151</v>
      </c>
      <c r="I195" s="175" t="s">
        <v>452</v>
      </c>
      <c r="J195" s="190" t="s">
        <v>8</v>
      </c>
      <c r="K195" s="473"/>
      <c r="L195" s="473"/>
      <c r="M195" s="195" t="s">
        <v>107</v>
      </c>
      <c r="N195" s="458">
        <v>0</v>
      </c>
      <c r="O195" s="470">
        <v>0</v>
      </c>
      <c r="P195" s="470">
        <v>0</v>
      </c>
      <c r="Q195" s="45">
        <v>0</v>
      </c>
      <c r="R195" s="46">
        <v>0</v>
      </c>
      <c r="S195" s="41">
        <v>45865.70045138889</v>
      </c>
      <c r="T195" s="42" t="s">
        <v>41</v>
      </c>
      <c r="U195" s="43" t="s">
        <v>445</v>
      </c>
      <c r="V195" s="34">
        <f t="shared" si="9"/>
        <v>46025.375</v>
      </c>
      <c r="W195" s="471">
        <f t="shared" si="10"/>
        <v>46025.333333333328</v>
      </c>
      <c r="X195" s="35">
        <f t="shared" si="11"/>
        <v>46025.291666666664</v>
      </c>
    </row>
    <row r="196" spans="1:24" ht="21" customHeight="1" thickBot="1">
      <c r="A196" s="290">
        <v>20</v>
      </c>
      <c r="B196" s="172">
        <v>46025</v>
      </c>
      <c r="C196" s="331">
        <v>46025.416666666664</v>
      </c>
      <c r="D196" s="335">
        <v>46025.625</v>
      </c>
      <c r="E196" s="335">
        <v>46025.75</v>
      </c>
      <c r="F196" s="335">
        <v>46025.791666666664</v>
      </c>
      <c r="G196" s="326">
        <v>46025.958333333336</v>
      </c>
      <c r="H196" s="178" t="s">
        <v>156</v>
      </c>
      <c r="I196" s="175" t="s">
        <v>157</v>
      </c>
      <c r="J196" s="190" t="s">
        <v>108</v>
      </c>
      <c r="K196" s="473"/>
      <c r="L196" s="473"/>
      <c r="M196" s="195" t="s">
        <v>9</v>
      </c>
      <c r="N196" s="458">
        <v>0</v>
      </c>
      <c r="O196" s="470">
        <v>0</v>
      </c>
      <c r="P196" s="470">
        <v>0</v>
      </c>
      <c r="Q196" s="45">
        <v>0</v>
      </c>
      <c r="R196" s="46">
        <v>0</v>
      </c>
      <c r="S196" s="41">
        <v>45865.70045138889</v>
      </c>
      <c r="T196" s="42" t="s">
        <v>41</v>
      </c>
      <c r="U196" s="43" t="s">
        <v>445</v>
      </c>
      <c r="V196" s="34">
        <f t="shared" si="9"/>
        <v>46025.375</v>
      </c>
      <c r="W196" s="471">
        <f t="shared" si="10"/>
        <v>46025.333333333328</v>
      </c>
      <c r="X196" s="35">
        <f t="shared" si="11"/>
        <v>46025.291666666664</v>
      </c>
    </row>
    <row r="197" spans="1:24" ht="21" customHeight="1" thickBot="1">
      <c r="A197" s="290">
        <v>20</v>
      </c>
      <c r="B197" s="172">
        <v>46025</v>
      </c>
      <c r="C197" s="331">
        <v>46025.416666666664</v>
      </c>
      <c r="D197" s="335">
        <v>46025.625</v>
      </c>
      <c r="E197" s="335">
        <v>46025.75</v>
      </c>
      <c r="F197" s="335">
        <v>46025.791666666664</v>
      </c>
      <c r="G197" s="326">
        <v>46025.958333333336</v>
      </c>
      <c r="H197" s="178" t="s">
        <v>533</v>
      </c>
      <c r="I197" s="175" t="s">
        <v>449</v>
      </c>
      <c r="J197" s="191" t="s">
        <v>444</v>
      </c>
      <c r="K197" s="473"/>
      <c r="L197" s="473"/>
      <c r="M197" s="196" t="s">
        <v>11</v>
      </c>
      <c r="N197" s="458">
        <v>0</v>
      </c>
      <c r="O197" s="470">
        <v>0</v>
      </c>
      <c r="P197" s="470">
        <v>0</v>
      </c>
      <c r="Q197" s="45">
        <v>0</v>
      </c>
      <c r="R197" s="46">
        <v>0</v>
      </c>
      <c r="S197" s="41">
        <v>45865.70045138889</v>
      </c>
      <c r="T197" s="42" t="s">
        <v>41</v>
      </c>
      <c r="U197" s="43" t="s">
        <v>445</v>
      </c>
      <c r="V197" s="34">
        <f t="shared" si="9"/>
        <v>46025.375</v>
      </c>
      <c r="W197" s="471">
        <f t="shared" si="10"/>
        <v>46025.333333333328</v>
      </c>
      <c r="X197" s="35">
        <f t="shared" si="11"/>
        <v>46025.291666666664</v>
      </c>
    </row>
    <row r="198" spans="1:24" ht="21" customHeight="1" thickBot="1">
      <c r="A198" s="290">
        <v>20</v>
      </c>
      <c r="B198" s="172">
        <v>46025</v>
      </c>
      <c r="C198" s="331">
        <v>46025.416666666664</v>
      </c>
      <c r="D198" s="335">
        <v>46025.625</v>
      </c>
      <c r="E198" s="335">
        <v>46025.75</v>
      </c>
      <c r="F198" s="335">
        <v>46025.791666666664</v>
      </c>
      <c r="G198" s="326">
        <v>46025.958333333336</v>
      </c>
      <c r="H198" s="178" t="s">
        <v>347</v>
      </c>
      <c r="I198" s="175" t="s">
        <v>50</v>
      </c>
      <c r="J198" s="191" t="s">
        <v>10</v>
      </c>
      <c r="K198" s="473"/>
      <c r="L198" s="473"/>
      <c r="M198" s="196" t="s">
        <v>6</v>
      </c>
      <c r="N198" s="458">
        <v>0</v>
      </c>
      <c r="O198" s="470">
        <v>0</v>
      </c>
      <c r="P198" s="470">
        <v>0</v>
      </c>
      <c r="Q198" s="45">
        <v>0</v>
      </c>
      <c r="R198" s="46">
        <v>0</v>
      </c>
      <c r="S198" s="41">
        <v>45865.70045138889</v>
      </c>
      <c r="T198" s="42" t="s">
        <v>41</v>
      </c>
      <c r="U198" s="43" t="s">
        <v>445</v>
      </c>
      <c r="V198" s="34">
        <f t="shared" si="9"/>
        <v>46025.375</v>
      </c>
      <c r="W198" s="471">
        <f t="shared" si="10"/>
        <v>46025.333333333328</v>
      </c>
      <c r="X198" s="35">
        <f t="shared" si="11"/>
        <v>46025.291666666664</v>
      </c>
    </row>
    <row r="199" spans="1:24" ht="21" customHeight="1" thickBot="1">
      <c r="A199" s="290">
        <v>20</v>
      </c>
      <c r="B199" s="172">
        <v>46025</v>
      </c>
      <c r="C199" s="331">
        <v>46025.416666666664</v>
      </c>
      <c r="D199" s="335">
        <v>46025.625</v>
      </c>
      <c r="E199" s="335">
        <v>46025.75</v>
      </c>
      <c r="F199" s="335">
        <v>46025.791666666664</v>
      </c>
      <c r="G199" s="326">
        <v>46025.958333333336</v>
      </c>
      <c r="H199" s="178" t="s">
        <v>384</v>
      </c>
      <c r="I199" s="175" t="s">
        <v>46</v>
      </c>
      <c r="J199" s="191" t="s">
        <v>12</v>
      </c>
      <c r="K199" s="473"/>
      <c r="L199" s="473"/>
      <c r="M199" s="196" t="s">
        <v>7</v>
      </c>
      <c r="N199" s="458">
        <v>0</v>
      </c>
      <c r="O199" s="470">
        <v>0</v>
      </c>
      <c r="P199" s="470">
        <v>0</v>
      </c>
      <c r="Q199" s="45">
        <v>0</v>
      </c>
      <c r="R199" s="46">
        <v>0</v>
      </c>
      <c r="S199" s="41">
        <v>45865.70045138889</v>
      </c>
      <c r="T199" s="42" t="s">
        <v>41</v>
      </c>
      <c r="U199" s="43" t="s">
        <v>445</v>
      </c>
      <c r="V199" s="34">
        <f t="shared" si="9"/>
        <v>46025.375</v>
      </c>
      <c r="W199" s="471">
        <f t="shared" si="10"/>
        <v>46025.333333333328</v>
      </c>
      <c r="X199" s="35">
        <f t="shared" si="11"/>
        <v>46025.291666666664</v>
      </c>
    </row>
    <row r="200" spans="1:24" ht="21" customHeight="1" thickBot="1">
      <c r="A200" s="290">
        <v>20</v>
      </c>
      <c r="B200" s="172">
        <v>46025</v>
      </c>
      <c r="C200" s="331">
        <v>46025.416666666664</v>
      </c>
      <c r="D200" s="335">
        <v>46025.625</v>
      </c>
      <c r="E200" s="335">
        <v>46025.75</v>
      </c>
      <c r="F200" s="335">
        <v>46025.791666666664</v>
      </c>
      <c r="G200" s="326">
        <v>46025.958333333336</v>
      </c>
      <c r="H200" s="178" t="s">
        <v>486</v>
      </c>
      <c r="I200" s="175" t="s">
        <v>45</v>
      </c>
      <c r="J200" s="188" t="s">
        <v>13</v>
      </c>
      <c r="K200" s="473"/>
      <c r="L200" s="473"/>
      <c r="M200" s="193" t="s">
        <v>443</v>
      </c>
      <c r="N200" s="458">
        <v>0</v>
      </c>
      <c r="O200" s="470">
        <v>0</v>
      </c>
      <c r="P200" s="470">
        <v>0</v>
      </c>
      <c r="Q200" s="45">
        <v>0</v>
      </c>
      <c r="R200" s="46">
        <v>0</v>
      </c>
      <c r="S200" s="41">
        <v>45865.70045138889</v>
      </c>
      <c r="T200" s="42" t="s">
        <v>41</v>
      </c>
      <c r="U200" s="43" t="s">
        <v>445</v>
      </c>
      <c r="V200" s="34">
        <f t="shared" si="9"/>
        <v>46025.375</v>
      </c>
      <c r="W200" s="471">
        <f t="shared" si="10"/>
        <v>46025.333333333328</v>
      </c>
      <c r="X200" s="35">
        <f t="shared" si="11"/>
        <v>46025.291666666664</v>
      </c>
    </row>
    <row r="201" spans="1:24" ht="21" customHeight="1" thickBot="1">
      <c r="A201" s="290">
        <v>20</v>
      </c>
      <c r="B201" s="172">
        <v>46025</v>
      </c>
      <c r="C201" s="331">
        <v>46025.416666666664</v>
      </c>
      <c r="D201" s="335">
        <v>46025.625</v>
      </c>
      <c r="E201" s="335">
        <v>46025.75</v>
      </c>
      <c r="F201" s="335">
        <v>46025.791666666664</v>
      </c>
      <c r="G201" s="326">
        <v>46025.958333333336</v>
      </c>
      <c r="H201" s="178" t="s">
        <v>387</v>
      </c>
      <c r="I201" s="175" t="s">
        <v>52</v>
      </c>
      <c r="J201" s="188" t="s">
        <v>15</v>
      </c>
      <c r="K201" s="473"/>
      <c r="L201" s="473"/>
      <c r="M201" s="193" t="s">
        <v>14</v>
      </c>
      <c r="N201" s="458">
        <v>0</v>
      </c>
      <c r="O201" s="470">
        <v>0</v>
      </c>
      <c r="P201" s="470">
        <v>0</v>
      </c>
      <c r="Q201" s="45">
        <v>0</v>
      </c>
      <c r="R201" s="46">
        <v>0</v>
      </c>
      <c r="S201" s="41">
        <v>45865.70045138889</v>
      </c>
      <c r="T201" s="42" t="s">
        <v>41</v>
      </c>
      <c r="U201" s="43" t="s">
        <v>445</v>
      </c>
      <c r="V201" s="34">
        <f t="shared" si="9"/>
        <v>46025.375</v>
      </c>
      <c r="W201" s="471">
        <f t="shared" si="10"/>
        <v>46025.333333333328</v>
      </c>
      <c r="X201" s="35">
        <f t="shared" si="11"/>
        <v>46025.291666666664</v>
      </c>
    </row>
    <row r="202" spans="1:24" ht="21" customHeight="1" thickBot="1">
      <c r="A202" s="289">
        <v>21</v>
      </c>
      <c r="B202" s="171">
        <v>46029</v>
      </c>
      <c r="C202" s="330">
        <v>46029.625</v>
      </c>
      <c r="D202" s="334">
        <v>46029.833333333336</v>
      </c>
      <c r="E202" s="334">
        <v>46029.958333333336</v>
      </c>
      <c r="F202" s="334">
        <v>46030</v>
      </c>
      <c r="G202" s="325">
        <v>46030.166666666664</v>
      </c>
      <c r="H202" s="177" t="s">
        <v>142</v>
      </c>
      <c r="I202" s="174" t="s">
        <v>48</v>
      </c>
      <c r="J202" s="187" t="s">
        <v>1</v>
      </c>
      <c r="K202" s="473"/>
      <c r="L202" s="473"/>
      <c r="M202" s="192" t="s">
        <v>9</v>
      </c>
      <c r="N202" s="456">
        <v>0</v>
      </c>
      <c r="O202" s="457">
        <v>0</v>
      </c>
      <c r="P202" s="457">
        <v>0</v>
      </c>
      <c r="Q202" s="39">
        <v>0</v>
      </c>
      <c r="R202" s="40">
        <v>0</v>
      </c>
      <c r="S202" s="36">
        <v>45865.70045138889</v>
      </c>
      <c r="T202" s="37" t="s">
        <v>41</v>
      </c>
      <c r="U202" s="38" t="s">
        <v>445</v>
      </c>
      <c r="V202" s="56">
        <f t="shared" si="9"/>
        <v>46029.583333333336</v>
      </c>
      <c r="W202" s="57">
        <f t="shared" si="10"/>
        <v>46029.541666666664</v>
      </c>
      <c r="X202" s="58">
        <f t="shared" si="11"/>
        <v>46029.5</v>
      </c>
    </row>
    <row r="203" spans="1:24" ht="21" customHeight="1" thickBot="1">
      <c r="A203" s="290">
        <v>21</v>
      </c>
      <c r="B203" s="172">
        <v>46029</v>
      </c>
      <c r="C203" s="331">
        <v>46029.625</v>
      </c>
      <c r="D203" s="335">
        <v>46029.833333333336</v>
      </c>
      <c r="E203" s="335">
        <v>46029.958333333336</v>
      </c>
      <c r="F203" s="335">
        <v>46030</v>
      </c>
      <c r="G203" s="326">
        <v>46030.166666666664</v>
      </c>
      <c r="H203" s="178" t="s">
        <v>300</v>
      </c>
      <c r="I203" s="175" t="s">
        <v>43</v>
      </c>
      <c r="J203" s="188" t="s">
        <v>3</v>
      </c>
      <c r="K203" s="473"/>
      <c r="L203" s="473"/>
      <c r="M203" s="193" t="s">
        <v>13</v>
      </c>
      <c r="N203" s="458">
        <v>0</v>
      </c>
      <c r="O203" s="470">
        <v>0</v>
      </c>
      <c r="P203" s="470">
        <v>0</v>
      </c>
      <c r="Q203" s="45">
        <v>0</v>
      </c>
      <c r="R203" s="46">
        <v>0</v>
      </c>
      <c r="S203" s="41">
        <v>45865.70045138889</v>
      </c>
      <c r="T203" s="42" t="s">
        <v>41</v>
      </c>
      <c r="U203" s="43" t="s">
        <v>445</v>
      </c>
      <c r="V203" s="34">
        <f t="shared" si="9"/>
        <v>46029.583333333336</v>
      </c>
      <c r="W203" s="471">
        <f t="shared" si="10"/>
        <v>46029.541666666664</v>
      </c>
      <c r="X203" s="35">
        <f t="shared" si="11"/>
        <v>46029.5</v>
      </c>
    </row>
    <row r="204" spans="1:24" ht="21" customHeight="1" thickBot="1">
      <c r="A204" s="290">
        <v>21</v>
      </c>
      <c r="B204" s="172">
        <v>46029</v>
      </c>
      <c r="C204" s="331">
        <v>46029.625</v>
      </c>
      <c r="D204" s="335">
        <v>46029.833333333336</v>
      </c>
      <c r="E204" s="335">
        <v>46029.958333333336</v>
      </c>
      <c r="F204" s="335">
        <v>46030</v>
      </c>
      <c r="G204" s="326">
        <v>46030.166666666664</v>
      </c>
      <c r="H204" s="178" t="s">
        <v>549</v>
      </c>
      <c r="I204" s="175" t="s">
        <v>172</v>
      </c>
      <c r="J204" s="188" t="s">
        <v>107</v>
      </c>
      <c r="K204" s="473"/>
      <c r="L204" s="473"/>
      <c r="M204" s="193" t="s">
        <v>443</v>
      </c>
      <c r="N204" s="458">
        <v>0</v>
      </c>
      <c r="O204" s="470">
        <v>0</v>
      </c>
      <c r="P204" s="470">
        <v>0</v>
      </c>
      <c r="Q204" s="45">
        <v>0</v>
      </c>
      <c r="R204" s="46">
        <v>0</v>
      </c>
      <c r="S204" s="41">
        <v>45865.70045138889</v>
      </c>
      <c r="T204" s="42" t="s">
        <v>41</v>
      </c>
      <c r="U204" s="43" t="s">
        <v>445</v>
      </c>
      <c r="V204" s="34">
        <f t="shared" si="9"/>
        <v>46029.583333333336</v>
      </c>
      <c r="W204" s="471">
        <f t="shared" si="10"/>
        <v>46029.541666666664</v>
      </c>
      <c r="X204" s="35">
        <f t="shared" si="11"/>
        <v>46029.5</v>
      </c>
    </row>
    <row r="205" spans="1:24" ht="21" customHeight="1" thickBot="1">
      <c r="A205" s="290">
        <v>21</v>
      </c>
      <c r="B205" s="172">
        <v>46029</v>
      </c>
      <c r="C205" s="331">
        <v>46029.625</v>
      </c>
      <c r="D205" s="335">
        <v>46029.833333333336</v>
      </c>
      <c r="E205" s="335">
        <v>46029.958333333336</v>
      </c>
      <c r="F205" s="335">
        <v>46030</v>
      </c>
      <c r="G205" s="326">
        <v>46030.166666666664</v>
      </c>
      <c r="H205" s="178" t="s">
        <v>550</v>
      </c>
      <c r="I205" s="175" t="s">
        <v>451</v>
      </c>
      <c r="J205" s="188" t="s">
        <v>5</v>
      </c>
      <c r="K205" s="473"/>
      <c r="L205" s="473"/>
      <c r="M205" s="193" t="s">
        <v>11</v>
      </c>
      <c r="N205" s="458">
        <v>0</v>
      </c>
      <c r="O205" s="470">
        <v>0</v>
      </c>
      <c r="P205" s="470">
        <v>0</v>
      </c>
      <c r="Q205" s="45">
        <v>0</v>
      </c>
      <c r="R205" s="46">
        <v>0</v>
      </c>
      <c r="S205" s="41">
        <v>45865.70045138889</v>
      </c>
      <c r="T205" s="42" t="s">
        <v>41</v>
      </c>
      <c r="U205" s="43" t="s">
        <v>445</v>
      </c>
      <c r="V205" s="34">
        <f t="shared" si="9"/>
        <v>46029.583333333336</v>
      </c>
      <c r="W205" s="471">
        <f t="shared" si="10"/>
        <v>46029.541666666664</v>
      </c>
      <c r="X205" s="35">
        <f t="shared" si="11"/>
        <v>46029.5</v>
      </c>
    </row>
    <row r="206" spans="1:24" ht="21" customHeight="1" thickBot="1">
      <c r="A206" s="290">
        <v>21</v>
      </c>
      <c r="B206" s="172">
        <v>46029</v>
      </c>
      <c r="C206" s="331">
        <v>46029.625</v>
      </c>
      <c r="D206" s="335">
        <v>46029.833333333336</v>
      </c>
      <c r="E206" s="335">
        <v>46029.958333333336</v>
      </c>
      <c r="F206" s="335">
        <v>46030</v>
      </c>
      <c r="G206" s="326">
        <v>46030.166666666664</v>
      </c>
      <c r="H206" s="178" t="s">
        <v>126</v>
      </c>
      <c r="I206" s="175" t="s">
        <v>44</v>
      </c>
      <c r="J206" s="188" t="s">
        <v>7</v>
      </c>
      <c r="K206" s="473"/>
      <c r="L206" s="473"/>
      <c r="M206" s="193" t="s">
        <v>2</v>
      </c>
      <c r="N206" s="458">
        <v>0</v>
      </c>
      <c r="O206" s="470">
        <v>0</v>
      </c>
      <c r="P206" s="470">
        <v>0</v>
      </c>
      <c r="Q206" s="45">
        <v>0</v>
      </c>
      <c r="R206" s="46">
        <v>0</v>
      </c>
      <c r="S206" s="41">
        <v>45865.70045138889</v>
      </c>
      <c r="T206" s="42" t="s">
        <v>41</v>
      </c>
      <c r="U206" s="43" t="s">
        <v>445</v>
      </c>
      <c r="V206" s="34">
        <f t="shared" si="9"/>
        <v>46029.583333333336</v>
      </c>
      <c r="W206" s="471">
        <f t="shared" si="10"/>
        <v>46029.541666666664</v>
      </c>
      <c r="X206" s="35">
        <f t="shared" si="11"/>
        <v>46029.5</v>
      </c>
    </row>
    <row r="207" spans="1:24" ht="21" customHeight="1" thickBot="1">
      <c r="A207" s="290">
        <v>21</v>
      </c>
      <c r="B207" s="172">
        <v>46029</v>
      </c>
      <c r="C207" s="331">
        <v>46029.625</v>
      </c>
      <c r="D207" s="335">
        <v>46029.833333333336</v>
      </c>
      <c r="E207" s="335">
        <v>46029.958333333336</v>
      </c>
      <c r="F207" s="335">
        <v>46030</v>
      </c>
      <c r="G207" s="326">
        <v>46030.166666666664</v>
      </c>
      <c r="H207" s="178" t="s">
        <v>295</v>
      </c>
      <c r="I207" s="175" t="s">
        <v>452</v>
      </c>
      <c r="J207" s="188" t="s">
        <v>8</v>
      </c>
      <c r="K207" s="473"/>
      <c r="L207" s="473"/>
      <c r="M207" s="193" t="s">
        <v>15</v>
      </c>
      <c r="N207" s="458">
        <v>0</v>
      </c>
      <c r="O207" s="470">
        <v>0</v>
      </c>
      <c r="P207" s="470">
        <v>0</v>
      </c>
      <c r="Q207" s="45">
        <v>0</v>
      </c>
      <c r="R207" s="46">
        <v>0</v>
      </c>
      <c r="S207" s="41">
        <v>45865.70045138889</v>
      </c>
      <c r="T207" s="42" t="s">
        <v>41</v>
      </c>
      <c r="U207" s="43" t="s">
        <v>445</v>
      </c>
      <c r="V207" s="34">
        <f t="shared" si="9"/>
        <v>46029.583333333336</v>
      </c>
      <c r="W207" s="471">
        <f t="shared" si="10"/>
        <v>46029.541666666664</v>
      </c>
      <c r="X207" s="35">
        <f t="shared" si="11"/>
        <v>46029.5</v>
      </c>
    </row>
    <row r="208" spans="1:24" ht="21" customHeight="1" thickBot="1">
      <c r="A208" s="290">
        <v>21</v>
      </c>
      <c r="B208" s="172">
        <v>46029</v>
      </c>
      <c r="C208" s="331">
        <v>46029.625</v>
      </c>
      <c r="D208" s="335">
        <v>46029.833333333336</v>
      </c>
      <c r="E208" s="335">
        <v>46029.958333333336</v>
      </c>
      <c r="F208" s="335">
        <v>46030</v>
      </c>
      <c r="G208" s="326">
        <v>46030.166666666664</v>
      </c>
      <c r="H208" s="178" t="s">
        <v>161</v>
      </c>
      <c r="I208" s="175" t="s">
        <v>157</v>
      </c>
      <c r="J208" s="188" t="s">
        <v>108</v>
      </c>
      <c r="K208" s="473"/>
      <c r="L208" s="473"/>
      <c r="M208" s="193" t="s">
        <v>6</v>
      </c>
      <c r="N208" s="458">
        <v>0</v>
      </c>
      <c r="O208" s="470">
        <v>0</v>
      </c>
      <c r="P208" s="470">
        <v>0</v>
      </c>
      <c r="Q208" s="45">
        <v>0</v>
      </c>
      <c r="R208" s="46">
        <v>0</v>
      </c>
      <c r="S208" s="41">
        <v>45865.70045138889</v>
      </c>
      <c r="T208" s="42" t="s">
        <v>41</v>
      </c>
      <c r="U208" s="43" t="s">
        <v>445</v>
      </c>
      <c r="V208" s="34">
        <f t="shared" si="9"/>
        <v>46029.583333333336</v>
      </c>
      <c r="W208" s="471">
        <f t="shared" si="10"/>
        <v>46029.541666666664</v>
      </c>
      <c r="X208" s="35">
        <f t="shared" si="11"/>
        <v>46029.5</v>
      </c>
    </row>
    <row r="209" spans="1:24" ht="21" customHeight="1" thickBot="1">
      <c r="A209" s="290">
        <v>21</v>
      </c>
      <c r="B209" s="172">
        <v>46029</v>
      </c>
      <c r="C209" s="331">
        <v>46029.625</v>
      </c>
      <c r="D209" s="335">
        <v>46029.833333333336</v>
      </c>
      <c r="E209" s="335">
        <v>46029.958333333336</v>
      </c>
      <c r="F209" s="335">
        <v>46030</v>
      </c>
      <c r="G209" s="326">
        <v>46030.166666666664</v>
      </c>
      <c r="H209" s="178" t="s">
        <v>383</v>
      </c>
      <c r="I209" s="175" t="s">
        <v>50</v>
      </c>
      <c r="J209" s="188" t="s">
        <v>10</v>
      </c>
      <c r="K209" s="473"/>
      <c r="L209" s="473"/>
      <c r="M209" s="193" t="s">
        <v>4</v>
      </c>
      <c r="N209" s="458">
        <v>0</v>
      </c>
      <c r="O209" s="470">
        <v>0</v>
      </c>
      <c r="P209" s="470">
        <v>0</v>
      </c>
      <c r="Q209" s="45">
        <v>0</v>
      </c>
      <c r="R209" s="46">
        <v>0</v>
      </c>
      <c r="S209" s="41">
        <v>45865.70045138889</v>
      </c>
      <c r="T209" s="42" t="s">
        <v>41</v>
      </c>
      <c r="U209" s="43" t="s">
        <v>445</v>
      </c>
      <c r="V209" s="34">
        <f t="shared" si="9"/>
        <v>46029.583333333336</v>
      </c>
      <c r="W209" s="471">
        <f t="shared" si="10"/>
        <v>46029.541666666664</v>
      </c>
      <c r="X209" s="35">
        <f t="shared" si="11"/>
        <v>46029.5</v>
      </c>
    </row>
    <row r="210" spans="1:24" ht="21" customHeight="1" thickBot="1">
      <c r="A210" s="290">
        <v>21</v>
      </c>
      <c r="B210" s="172">
        <v>46029</v>
      </c>
      <c r="C210" s="331">
        <v>46029.625</v>
      </c>
      <c r="D210" s="335">
        <v>46029.833333333336</v>
      </c>
      <c r="E210" s="335">
        <v>46029.958333333336</v>
      </c>
      <c r="F210" s="335">
        <v>46030</v>
      </c>
      <c r="G210" s="326">
        <v>46030.166666666664</v>
      </c>
      <c r="H210" s="178" t="s">
        <v>551</v>
      </c>
      <c r="I210" s="175" t="s">
        <v>46</v>
      </c>
      <c r="J210" s="188" t="s">
        <v>12</v>
      </c>
      <c r="K210" s="473"/>
      <c r="L210" s="473"/>
      <c r="M210" s="193" t="s">
        <v>444</v>
      </c>
      <c r="N210" s="458">
        <v>0</v>
      </c>
      <c r="O210" s="470">
        <v>0</v>
      </c>
      <c r="P210" s="470">
        <v>0</v>
      </c>
      <c r="Q210" s="45">
        <v>0</v>
      </c>
      <c r="R210" s="46">
        <v>0</v>
      </c>
      <c r="S210" s="41">
        <v>45865.70045138889</v>
      </c>
      <c r="T210" s="42" t="s">
        <v>41</v>
      </c>
      <c r="U210" s="43" t="s">
        <v>445</v>
      </c>
      <c r="V210" s="34">
        <f t="shared" si="9"/>
        <v>46029.583333333336</v>
      </c>
      <c r="W210" s="471">
        <f t="shared" si="10"/>
        <v>46029.541666666664</v>
      </c>
      <c r="X210" s="35">
        <f t="shared" si="11"/>
        <v>46029.5</v>
      </c>
    </row>
    <row r="211" spans="1:24" ht="21" customHeight="1" thickBot="1">
      <c r="A211" s="290">
        <v>21</v>
      </c>
      <c r="B211" s="172">
        <v>46029</v>
      </c>
      <c r="C211" s="331">
        <v>46029.625</v>
      </c>
      <c r="D211" s="335">
        <v>46029.833333333336</v>
      </c>
      <c r="E211" s="335">
        <v>46029.958333333336</v>
      </c>
      <c r="F211" s="335">
        <v>46030</v>
      </c>
      <c r="G211" s="326">
        <v>46030.166666666664</v>
      </c>
      <c r="H211" s="178" t="s">
        <v>428</v>
      </c>
      <c r="I211" s="175" t="s">
        <v>42</v>
      </c>
      <c r="J211" s="188" t="s">
        <v>14</v>
      </c>
      <c r="K211" s="473"/>
      <c r="L211" s="473"/>
      <c r="M211" s="193" t="s">
        <v>188</v>
      </c>
      <c r="N211" s="458">
        <v>0</v>
      </c>
      <c r="O211" s="470">
        <v>0</v>
      </c>
      <c r="P211" s="470">
        <v>0</v>
      </c>
      <c r="Q211" s="45">
        <v>0</v>
      </c>
      <c r="R211" s="46">
        <v>0</v>
      </c>
      <c r="S211" s="41">
        <v>45865.70045138889</v>
      </c>
      <c r="T211" s="42" t="s">
        <v>41</v>
      </c>
      <c r="U211" s="43" t="s">
        <v>445</v>
      </c>
      <c r="V211" s="34">
        <f t="shared" si="9"/>
        <v>46029.583333333336</v>
      </c>
      <c r="W211" s="471">
        <f t="shared" si="10"/>
        <v>46029.541666666664</v>
      </c>
      <c r="X211" s="35">
        <f t="shared" si="11"/>
        <v>46029.5</v>
      </c>
    </row>
    <row r="212" spans="1:24" ht="21" customHeight="1" thickBot="1">
      <c r="A212" s="289">
        <v>22</v>
      </c>
      <c r="B212" s="171">
        <v>46039</v>
      </c>
      <c r="C212" s="330">
        <v>46039.416666666664</v>
      </c>
      <c r="D212" s="334">
        <v>46039.625</v>
      </c>
      <c r="E212" s="334">
        <v>46039.75</v>
      </c>
      <c r="F212" s="334">
        <v>46039.791666666664</v>
      </c>
      <c r="G212" s="325">
        <v>46039.958333333336</v>
      </c>
      <c r="H212" s="177" t="s">
        <v>118</v>
      </c>
      <c r="I212" s="174" t="s">
        <v>49</v>
      </c>
      <c r="J212" s="187" t="s">
        <v>2</v>
      </c>
      <c r="K212" s="473"/>
      <c r="L212" s="473"/>
      <c r="M212" s="192" t="s">
        <v>8</v>
      </c>
      <c r="N212" s="456">
        <v>0</v>
      </c>
      <c r="O212" s="457">
        <v>0</v>
      </c>
      <c r="P212" s="457">
        <v>0</v>
      </c>
      <c r="Q212" s="39">
        <v>0</v>
      </c>
      <c r="R212" s="40">
        <v>0</v>
      </c>
      <c r="S212" s="36">
        <v>45865.70045138889</v>
      </c>
      <c r="T212" s="37" t="s">
        <v>41</v>
      </c>
      <c r="U212" s="38" t="s">
        <v>445</v>
      </c>
      <c r="V212" s="56">
        <f t="shared" si="9"/>
        <v>46039.375</v>
      </c>
      <c r="W212" s="57">
        <f t="shared" si="10"/>
        <v>46039.333333333328</v>
      </c>
      <c r="X212" s="58">
        <f t="shared" si="11"/>
        <v>46039.291666666664</v>
      </c>
    </row>
    <row r="213" spans="1:24" ht="21" customHeight="1" thickBot="1">
      <c r="A213" s="290">
        <v>22</v>
      </c>
      <c r="B213" s="172">
        <v>46039</v>
      </c>
      <c r="C213" s="331">
        <v>46039.416666666664</v>
      </c>
      <c r="D213" s="335">
        <v>46039.625</v>
      </c>
      <c r="E213" s="335">
        <v>46039.75</v>
      </c>
      <c r="F213" s="335">
        <v>46039.791666666664</v>
      </c>
      <c r="G213" s="326">
        <v>46039.958333333336</v>
      </c>
      <c r="H213" s="178" t="s">
        <v>369</v>
      </c>
      <c r="I213" s="175" t="s">
        <v>217</v>
      </c>
      <c r="J213" s="188" t="s">
        <v>4</v>
      </c>
      <c r="K213" s="473"/>
      <c r="L213" s="473"/>
      <c r="M213" s="193" t="s">
        <v>3</v>
      </c>
      <c r="N213" s="458">
        <v>0</v>
      </c>
      <c r="O213" s="470">
        <v>0</v>
      </c>
      <c r="P213" s="470">
        <v>0</v>
      </c>
      <c r="Q213" s="45">
        <v>0</v>
      </c>
      <c r="R213" s="46">
        <v>0</v>
      </c>
      <c r="S213" s="41">
        <v>45865.70045138889</v>
      </c>
      <c r="T213" s="42" t="s">
        <v>41</v>
      </c>
      <c r="U213" s="43" t="s">
        <v>445</v>
      </c>
      <c r="V213" s="34">
        <f t="shared" si="9"/>
        <v>46039.375</v>
      </c>
      <c r="W213" s="471">
        <f t="shared" si="10"/>
        <v>46039.333333333328</v>
      </c>
      <c r="X213" s="35">
        <f t="shared" si="11"/>
        <v>46039.291666666664</v>
      </c>
    </row>
    <row r="214" spans="1:24" ht="21" customHeight="1" thickBot="1">
      <c r="A214" s="290">
        <v>22</v>
      </c>
      <c r="B214" s="172">
        <v>46039</v>
      </c>
      <c r="C214" s="331">
        <v>46039.416666666664</v>
      </c>
      <c r="D214" s="335">
        <v>46039.625</v>
      </c>
      <c r="E214" s="335">
        <v>46039.75</v>
      </c>
      <c r="F214" s="335">
        <v>46039.791666666664</v>
      </c>
      <c r="G214" s="326">
        <v>46039.958333333336</v>
      </c>
      <c r="H214" s="178" t="s">
        <v>144</v>
      </c>
      <c r="I214" s="175" t="s">
        <v>51</v>
      </c>
      <c r="J214" s="188" t="s">
        <v>6</v>
      </c>
      <c r="K214" s="473"/>
      <c r="L214" s="473"/>
      <c r="M214" s="193" t="s">
        <v>107</v>
      </c>
      <c r="N214" s="458">
        <v>0</v>
      </c>
      <c r="O214" s="470">
        <v>0</v>
      </c>
      <c r="P214" s="470">
        <v>0</v>
      </c>
      <c r="Q214" s="45">
        <v>0</v>
      </c>
      <c r="R214" s="46">
        <v>0</v>
      </c>
      <c r="S214" s="41">
        <v>45865.70045138889</v>
      </c>
      <c r="T214" s="42" t="s">
        <v>41</v>
      </c>
      <c r="U214" s="43" t="s">
        <v>445</v>
      </c>
      <c r="V214" s="34">
        <f t="shared" si="9"/>
        <v>46039.375</v>
      </c>
      <c r="W214" s="471">
        <f t="shared" si="10"/>
        <v>46039.333333333328</v>
      </c>
      <c r="X214" s="35">
        <f t="shared" si="11"/>
        <v>46039.291666666664</v>
      </c>
    </row>
    <row r="215" spans="1:24" ht="21" customHeight="1" thickBot="1">
      <c r="A215" s="290">
        <v>22</v>
      </c>
      <c r="B215" s="172">
        <v>46039</v>
      </c>
      <c r="C215" s="331">
        <v>46039.416666666664</v>
      </c>
      <c r="D215" s="335">
        <v>46039.625</v>
      </c>
      <c r="E215" s="335">
        <v>46039.75</v>
      </c>
      <c r="F215" s="335">
        <v>46039.791666666664</v>
      </c>
      <c r="G215" s="326">
        <v>46039.958333333336</v>
      </c>
      <c r="H215" s="178" t="s">
        <v>534</v>
      </c>
      <c r="I215" s="175" t="s">
        <v>449</v>
      </c>
      <c r="J215" s="188" t="s">
        <v>444</v>
      </c>
      <c r="K215" s="473"/>
      <c r="L215" s="473"/>
      <c r="M215" s="193" t="s">
        <v>108</v>
      </c>
      <c r="N215" s="458">
        <v>0</v>
      </c>
      <c r="O215" s="470">
        <v>0</v>
      </c>
      <c r="P215" s="470">
        <v>0</v>
      </c>
      <c r="Q215" s="45">
        <v>0</v>
      </c>
      <c r="R215" s="46">
        <v>0</v>
      </c>
      <c r="S215" s="41">
        <v>45865.70045138889</v>
      </c>
      <c r="T215" s="42" t="s">
        <v>41</v>
      </c>
      <c r="U215" s="43" t="s">
        <v>445</v>
      </c>
      <c r="V215" s="34">
        <f t="shared" si="9"/>
        <v>46039.375</v>
      </c>
      <c r="W215" s="471">
        <f t="shared" si="10"/>
        <v>46039.333333333328</v>
      </c>
      <c r="X215" s="35">
        <f t="shared" si="11"/>
        <v>46039.291666666664</v>
      </c>
    </row>
    <row r="216" spans="1:24" ht="21" customHeight="1" thickBot="1">
      <c r="A216" s="290">
        <v>22</v>
      </c>
      <c r="B216" s="172">
        <v>46039</v>
      </c>
      <c r="C216" s="331">
        <v>46039.416666666664</v>
      </c>
      <c r="D216" s="335">
        <v>46039.625</v>
      </c>
      <c r="E216" s="335">
        <v>46039.75</v>
      </c>
      <c r="F216" s="335">
        <v>46039.791666666664</v>
      </c>
      <c r="G216" s="326">
        <v>46039.958333333336</v>
      </c>
      <c r="H216" s="178" t="s">
        <v>487</v>
      </c>
      <c r="I216" s="175" t="s">
        <v>40</v>
      </c>
      <c r="J216" s="188" t="s">
        <v>9</v>
      </c>
      <c r="K216" s="473"/>
      <c r="L216" s="473"/>
      <c r="M216" s="193" t="s">
        <v>5</v>
      </c>
      <c r="N216" s="458">
        <v>0</v>
      </c>
      <c r="O216" s="470">
        <v>0</v>
      </c>
      <c r="P216" s="470">
        <v>0</v>
      </c>
      <c r="Q216" s="45">
        <v>0</v>
      </c>
      <c r="R216" s="46">
        <v>0</v>
      </c>
      <c r="S216" s="41">
        <v>45865.70045138889</v>
      </c>
      <c r="T216" s="42" t="s">
        <v>41</v>
      </c>
      <c r="U216" s="43" t="s">
        <v>445</v>
      </c>
      <c r="V216" s="34">
        <f t="shared" si="9"/>
        <v>46039.375</v>
      </c>
      <c r="W216" s="471">
        <f t="shared" si="10"/>
        <v>46039.333333333328</v>
      </c>
      <c r="X216" s="35">
        <f t="shared" si="11"/>
        <v>46039.291666666664</v>
      </c>
    </row>
    <row r="217" spans="1:24" ht="21" customHeight="1" thickBot="1">
      <c r="A217" s="290">
        <v>22</v>
      </c>
      <c r="B217" s="172">
        <v>46039</v>
      </c>
      <c r="C217" s="331">
        <v>46039.416666666664</v>
      </c>
      <c r="D217" s="335">
        <v>46039.625</v>
      </c>
      <c r="E217" s="335">
        <v>46039.75</v>
      </c>
      <c r="F217" s="335">
        <v>46039.791666666664</v>
      </c>
      <c r="G217" s="326">
        <v>46039.958333333336</v>
      </c>
      <c r="H217" s="178" t="s">
        <v>392</v>
      </c>
      <c r="I217" s="175" t="s">
        <v>47</v>
      </c>
      <c r="J217" s="188" t="s">
        <v>11</v>
      </c>
      <c r="K217" s="473"/>
      <c r="L217" s="473"/>
      <c r="M217" s="193" t="s">
        <v>10</v>
      </c>
      <c r="N217" s="458">
        <v>0</v>
      </c>
      <c r="O217" s="470">
        <v>0</v>
      </c>
      <c r="P217" s="470">
        <v>0</v>
      </c>
      <c r="Q217" s="45">
        <v>0</v>
      </c>
      <c r="R217" s="46">
        <v>0</v>
      </c>
      <c r="S217" s="41">
        <v>45865.70045138889</v>
      </c>
      <c r="T217" s="42" t="s">
        <v>41</v>
      </c>
      <c r="U217" s="43" t="s">
        <v>445</v>
      </c>
      <c r="V217" s="34">
        <f t="shared" si="9"/>
        <v>46039.375</v>
      </c>
      <c r="W217" s="471">
        <f t="shared" si="10"/>
        <v>46039.333333333328</v>
      </c>
      <c r="X217" s="35">
        <f t="shared" si="11"/>
        <v>46039.291666666664</v>
      </c>
    </row>
    <row r="218" spans="1:24" ht="21" customHeight="1" thickBot="1">
      <c r="A218" s="290">
        <v>22</v>
      </c>
      <c r="B218" s="172">
        <v>46039</v>
      </c>
      <c r="C218" s="331">
        <v>46039.416666666664</v>
      </c>
      <c r="D218" s="335">
        <v>46039.625</v>
      </c>
      <c r="E218" s="335">
        <v>46039.75</v>
      </c>
      <c r="F218" s="335">
        <v>46039.791666666664</v>
      </c>
      <c r="G218" s="326">
        <v>46039.958333333336</v>
      </c>
      <c r="H218" s="178" t="s">
        <v>370</v>
      </c>
      <c r="I218" s="175" t="s">
        <v>158</v>
      </c>
      <c r="J218" s="188" t="s">
        <v>188</v>
      </c>
      <c r="K218" s="473"/>
      <c r="L218" s="473"/>
      <c r="M218" s="193" t="s">
        <v>1</v>
      </c>
      <c r="N218" s="458">
        <v>0</v>
      </c>
      <c r="O218" s="470">
        <v>0</v>
      </c>
      <c r="P218" s="470">
        <v>0</v>
      </c>
      <c r="Q218" s="45">
        <v>0</v>
      </c>
      <c r="R218" s="46">
        <v>0</v>
      </c>
      <c r="S218" s="41">
        <v>45865.70045138889</v>
      </c>
      <c r="T218" s="42" t="s">
        <v>41</v>
      </c>
      <c r="U218" s="43" t="s">
        <v>445</v>
      </c>
      <c r="V218" s="34">
        <f t="shared" si="9"/>
        <v>46039.375</v>
      </c>
      <c r="W218" s="471">
        <f t="shared" si="10"/>
        <v>46039.333333333328</v>
      </c>
      <c r="X218" s="35">
        <f t="shared" si="11"/>
        <v>46039.291666666664</v>
      </c>
    </row>
    <row r="219" spans="1:24" ht="21" customHeight="1" thickBot="1">
      <c r="A219" s="290">
        <v>22</v>
      </c>
      <c r="B219" s="172">
        <v>46039</v>
      </c>
      <c r="C219" s="331">
        <v>46039.416666666664</v>
      </c>
      <c r="D219" s="335">
        <v>46039.625</v>
      </c>
      <c r="E219" s="335">
        <v>46039.75</v>
      </c>
      <c r="F219" s="335">
        <v>46039.791666666664</v>
      </c>
      <c r="G219" s="326">
        <v>46039.958333333336</v>
      </c>
      <c r="H219" s="178" t="s">
        <v>262</v>
      </c>
      <c r="I219" s="175" t="s">
        <v>45</v>
      </c>
      <c r="J219" s="188" t="s">
        <v>13</v>
      </c>
      <c r="K219" s="473"/>
      <c r="L219" s="473"/>
      <c r="M219" s="193" t="s">
        <v>14</v>
      </c>
      <c r="N219" s="458">
        <v>0</v>
      </c>
      <c r="O219" s="470">
        <v>0</v>
      </c>
      <c r="P219" s="470">
        <v>0</v>
      </c>
      <c r="Q219" s="45">
        <v>0</v>
      </c>
      <c r="R219" s="46">
        <v>0</v>
      </c>
      <c r="S219" s="41">
        <v>45865.70045138889</v>
      </c>
      <c r="T219" s="42" t="s">
        <v>41</v>
      </c>
      <c r="U219" s="43" t="s">
        <v>445</v>
      </c>
      <c r="V219" s="34">
        <f t="shared" si="9"/>
        <v>46039.375</v>
      </c>
      <c r="W219" s="471">
        <f t="shared" si="10"/>
        <v>46039.333333333328</v>
      </c>
      <c r="X219" s="35">
        <f t="shared" si="11"/>
        <v>46039.291666666664</v>
      </c>
    </row>
    <row r="220" spans="1:24" ht="21" customHeight="1" thickBot="1">
      <c r="A220" s="290">
        <v>22</v>
      </c>
      <c r="B220" s="172">
        <v>46039</v>
      </c>
      <c r="C220" s="331">
        <v>46039.416666666664</v>
      </c>
      <c r="D220" s="335">
        <v>46039.625</v>
      </c>
      <c r="E220" s="335">
        <v>46039.75</v>
      </c>
      <c r="F220" s="335">
        <v>46039.791666666664</v>
      </c>
      <c r="G220" s="326">
        <v>46039.958333333336</v>
      </c>
      <c r="H220" s="178" t="s">
        <v>488</v>
      </c>
      <c r="I220" s="175" t="s">
        <v>448</v>
      </c>
      <c r="J220" s="188" t="s">
        <v>443</v>
      </c>
      <c r="K220" s="473"/>
      <c r="L220" s="473"/>
      <c r="M220" s="193" t="s">
        <v>7</v>
      </c>
      <c r="N220" s="458">
        <v>0</v>
      </c>
      <c r="O220" s="470">
        <v>0</v>
      </c>
      <c r="P220" s="470">
        <v>0</v>
      </c>
      <c r="Q220" s="45">
        <v>0</v>
      </c>
      <c r="R220" s="46">
        <v>0</v>
      </c>
      <c r="S220" s="41">
        <v>45865.70045138889</v>
      </c>
      <c r="T220" s="42" t="s">
        <v>41</v>
      </c>
      <c r="U220" s="43" t="s">
        <v>445</v>
      </c>
      <c r="V220" s="34">
        <f t="shared" si="9"/>
        <v>46039.375</v>
      </c>
      <c r="W220" s="471">
        <f t="shared" si="10"/>
        <v>46039.333333333328</v>
      </c>
      <c r="X220" s="35">
        <f t="shared" si="11"/>
        <v>46039.291666666664</v>
      </c>
    </row>
    <row r="221" spans="1:24" ht="21" customHeight="1" thickBot="1">
      <c r="A221" s="290">
        <v>22</v>
      </c>
      <c r="B221" s="172">
        <v>46039</v>
      </c>
      <c r="C221" s="331">
        <v>46039.416666666664</v>
      </c>
      <c r="D221" s="335">
        <v>46039.625</v>
      </c>
      <c r="E221" s="335">
        <v>46039.75</v>
      </c>
      <c r="F221" s="335">
        <v>46039.791666666664</v>
      </c>
      <c r="G221" s="326">
        <v>46039.958333333336</v>
      </c>
      <c r="H221" s="178" t="s">
        <v>241</v>
      </c>
      <c r="I221" s="175" t="s">
        <v>52</v>
      </c>
      <c r="J221" s="188" t="s">
        <v>15</v>
      </c>
      <c r="K221" s="473"/>
      <c r="L221" s="473"/>
      <c r="M221" s="193" t="s">
        <v>12</v>
      </c>
      <c r="N221" s="458">
        <v>0</v>
      </c>
      <c r="O221" s="470">
        <v>0</v>
      </c>
      <c r="P221" s="470">
        <v>0</v>
      </c>
      <c r="Q221" s="45">
        <v>0</v>
      </c>
      <c r="R221" s="46">
        <v>0</v>
      </c>
      <c r="S221" s="41">
        <v>45865.70045138889</v>
      </c>
      <c r="T221" s="42" t="s">
        <v>41</v>
      </c>
      <c r="U221" s="43" t="s">
        <v>445</v>
      </c>
      <c r="V221" s="34">
        <f t="shared" si="9"/>
        <v>46039.375</v>
      </c>
      <c r="W221" s="471">
        <f t="shared" si="10"/>
        <v>46039.333333333328</v>
      </c>
      <c r="X221" s="35">
        <f t="shared" si="11"/>
        <v>46039.291666666664</v>
      </c>
    </row>
    <row r="222" spans="1:24" ht="21" customHeight="1" thickBot="1">
      <c r="A222" s="289">
        <v>23</v>
      </c>
      <c r="B222" s="171">
        <v>46046</v>
      </c>
      <c r="C222" s="330">
        <v>46046.416666666664</v>
      </c>
      <c r="D222" s="334">
        <v>46046.625</v>
      </c>
      <c r="E222" s="334">
        <v>46046.75</v>
      </c>
      <c r="F222" s="334">
        <v>46046.791666666664</v>
      </c>
      <c r="G222" s="325">
        <v>46046.958333333336</v>
      </c>
      <c r="H222" s="177" t="s">
        <v>298</v>
      </c>
      <c r="I222" s="174" t="s">
        <v>48</v>
      </c>
      <c r="J222" s="187" t="s">
        <v>1</v>
      </c>
      <c r="K222" s="473"/>
      <c r="L222" s="473"/>
      <c r="M222" s="192" t="s">
        <v>11</v>
      </c>
      <c r="N222" s="456">
        <v>0</v>
      </c>
      <c r="O222" s="457">
        <v>0</v>
      </c>
      <c r="P222" s="457">
        <v>0</v>
      </c>
      <c r="Q222" s="39">
        <v>0</v>
      </c>
      <c r="R222" s="40">
        <v>0</v>
      </c>
      <c r="S222" s="36">
        <v>45865.70045138889</v>
      </c>
      <c r="T222" s="37" t="s">
        <v>41</v>
      </c>
      <c r="U222" s="38" t="s">
        <v>445</v>
      </c>
      <c r="V222" s="56">
        <f t="shared" si="9"/>
        <v>46046.375</v>
      </c>
      <c r="W222" s="57">
        <f t="shared" si="10"/>
        <v>46046.333333333328</v>
      </c>
      <c r="X222" s="58">
        <f t="shared" si="11"/>
        <v>46046.291666666664</v>
      </c>
    </row>
    <row r="223" spans="1:24" ht="21" customHeight="1" thickBot="1">
      <c r="A223" s="290">
        <v>23</v>
      </c>
      <c r="B223" s="172">
        <v>46046</v>
      </c>
      <c r="C223" s="331">
        <v>46046.416666666664</v>
      </c>
      <c r="D223" s="335">
        <v>46046.625</v>
      </c>
      <c r="E223" s="335">
        <v>46046.75</v>
      </c>
      <c r="F223" s="335">
        <v>46046.791666666664</v>
      </c>
      <c r="G223" s="326">
        <v>46046.958333333336</v>
      </c>
      <c r="H223" s="178" t="s">
        <v>351</v>
      </c>
      <c r="I223" s="175" t="s">
        <v>43</v>
      </c>
      <c r="J223" s="188" t="s">
        <v>3</v>
      </c>
      <c r="K223" s="473"/>
      <c r="L223" s="473"/>
      <c r="M223" s="193" t="s">
        <v>9</v>
      </c>
      <c r="N223" s="458">
        <v>0</v>
      </c>
      <c r="O223" s="470">
        <v>0</v>
      </c>
      <c r="P223" s="470">
        <v>0</v>
      </c>
      <c r="Q223" s="45">
        <v>0</v>
      </c>
      <c r="R223" s="46">
        <v>0</v>
      </c>
      <c r="S223" s="41">
        <v>45865.70045138889</v>
      </c>
      <c r="T223" s="42" t="s">
        <v>41</v>
      </c>
      <c r="U223" s="43" t="s">
        <v>445</v>
      </c>
      <c r="V223" s="34">
        <f t="shared" si="9"/>
        <v>46046.375</v>
      </c>
      <c r="W223" s="471">
        <f t="shared" si="10"/>
        <v>46046.333333333328</v>
      </c>
      <c r="X223" s="35">
        <f t="shared" si="11"/>
        <v>46046.291666666664</v>
      </c>
    </row>
    <row r="224" spans="1:24" ht="21" customHeight="1" thickBot="1">
      <c r="A224" s="290">
        <v>23</v>
      </c>
      <c r="B224" s="172">
        <v>46046</v>
      </c>
      <c r="C224" s="331">
        <v>46046.416666666664</v>
      </c>
      <c r="D224" s="335">
        <v>46046.625</v>
      </c>
      <c r="E224" s="335">
        <v>46046.75</v>
      </c>
      <c r="F224" s="335">
        <v>46046.791666666664</v>
      </c>
      <c r="G224" s="326">
        <v>46046.958333333336</v>
      </c>
      <c r="H224" s="178" t="s">
        <v>311</v>
      </c>
      <c r="I224" s="175" t="s">
        <v>172</v>
      </c>
      <c r="J224" s="188" t="s">
        <v>107</v>
      </c>
      <c r="K224" s="473"/>
      <c r="L224" s="473"/>
      <c r="M224" s="193" t="s">
        <v>188</v>
      </c>
      <c r="N224" s="458">
        <v>0</v>
      </c>
      <c r="O224" s="470">
        <v>0</v>
      </c>
      <c r="P224" s="470">
        <v>0</v>
      </c>
      <c r="Q224" s="45">
        <v>0</v>
      </c>
      <c r="R224" s="46">
        <v>0</v>
      </c>
      <c r="S224" s="41">
        <v>45865.70045138889</v>
      </c>
      <c r="T224" s="42" t="s">
        <v>41</v>
      </c>
      <c r="U224" s="43" t="s">
        <v>445</v>
      </c>
      <c r="V224" s="34">
        <f t="shared" si="9"/>
        <v>46046.375</v>
      </c>
      <c r="W224" s="471">
        <f t="shared" si="10"/>
        <v>46046.333333333328</v>
      </c>
      <c r="X224" s="35">
        <f t="shared" si="11"/>
        <v>46046.291666666664</v>
      </c>
    </row>
    <row r="225" spans="1:24" ht="21" customHeight="1" thickBot="1">
      <c r="A225" s="290">
        <v>23</v>
      </c>
      <c r="B225" s="172">
        <v>46046</v>
      </c>
      <c r="C225" s="331">
        <v>46046.416666666664</v>
      </c>
      <c r="D225" s="335">
        <v>46046.625</v>
      </c>
      <c r="E225" s="335">
        <v>46046.75</v>
      </c>
      <c r="F225" s="335">
        <v>46046.791666666664</v>
      </c>
      <c r="G225" s="326">
        <v>46046.958333333336</v>
      </c>
      <c r="H225" s="178" t="s">
        <v>489</v>
      </c>
      <c r="I225" s="175" t="s">
        <v>451</v>
      </c>
      <c r="J225" s="188" t="s">
        <v>5</v>
      </c>
      <c r="K225" s="473"/>
      <c r="L225" s="473"/>
      <c r="M225" s="193" t="s">
        <v>13</v>
      </c>
      <c r="N225" s="458">
        <v>0</v>
      </c>
      <c r="O225" s="470">
        <v>0</v>
      </c>
      <c r="P225" s="470">
        <v>0</v>
      </c>
      <c r="Q225" s="45">
        <v>0</v>
      </c>
      <c r="R225" s="46">
        <v>0</v>
      </c>
      <c r="S225" s="41">
        <v>45865.70045138889</v>
      </c>
      <c r="T225" s="42" t="s">
        <v>41</v>
      </c>
      <c r="U225" s="43" t="s">
        <v>445</v>
      </c>
      <c r="V225" s="34">
        <f t="shared" si="9"/>
        <v>46046.375</v>
      </c>
      <c r="W225" s="471">
        <f t="shared" si="10"/>
        <v>46046.333333333328</v>
      </c>
      <c r="X225" s="35">
        <f t="shared" si="11"/>
        <v>46046.291666666664</v>
      </c>
    </row>
    <row r="226" spans="1:24" ht="21" customHeight="1" thickBot="1">
      <c r="A226" s="290">
        <v>23</v>
      </c>
      <c r="B226" s="172">
        <v>46046</v>
      </c>
      <c r="C226" s="331">
        <v>46046.416666666664</v>
      </c>
      <c r="D226" s="335">
        <v>46046.625</v>
      </c>
      <c r="E226" s="335">
        <v>46046.75</v>
      </c>
      <c r="F226" s="335">
        <v>46046.791666666664</v>
      </c>
      <c r="G226" s="326">
        <v>46046.958333333336</v>
      </c>
      <c r="H226" s="178" t="s">
        <v>141</v>
      </c>
      <c r="I226" s="175" t="s">
        <v>44</v>
      </c>
      <c r="J226" s="188" t="s">
        <v>7</v>
      </c>
      <c r="K226" s="473"/>
      <c r="L226" s="473"/>
      <c r="M226" s="193" t="s">
        <v>6</v>
      </c>
      <c r="N226" s="458">
        <v>0</v>
      </c>
      <c r="O226" s="470">
        <v>0</v>
      </c>
      <c r="P226" s="470">
        <v>0</v>
      </c>
      <c r="Q226" s="45">
        <v>0</v>
      </c>
      <c r="R226" s="46">
        <v>0</v>
      </c>
      <c r="S226" s="41">
        <v>45865.70045138889</v>
      </c>
      <c r="T226" s="42" t="s">
        <v>41</v>
      </c>
      <c r="U226" s="43" t="s">
        <v>445</v>
      </c>
      <c r="V226" s="34">
        <f t="shared" si="9"/>
        <v>46046.375</v>
      </c>
      <c r="W226" s="471">
        <f t="shared" si="10"/>
        <v>46046.333333333328</v>
      </c>
      <c r="X226" s="35">
        <f t="shared" si="11"/>
        <v>46046.291666666664</v>
      </c>
    </row>
    <row r="227" spans="1:24" ht="21" customHeight="1" thickBot="1">
      <c r="A227" s="290">
        <v>23</v>
      </c>
      <c r="B227" s="172">
        <v>46046</v>
      </c>
      <c r="C227" s="331">
        <v>46046.416666666664</v>
      </c>
      <c r="D227" s="335">
        <v>46046.625</v>
      </c>
      <c r="E227" s="335">
        <v>46046.75</v>
      </c>
      <c r="F227" s="335">
        <v>46046.791666666664</v>
      </c>
      <c r="G227" s="326">
        <v>46046.958333333336</v>
      </c>
      <c r="H227" s="178" t="s">
        <v>535</v>
      </c>
      <c r="I227" s="175" t="s">
        <v>452</v>
      </c>
      <c r="J227" s="188" t="s">
        <v>8</v>
      </c>
      <c r="K227" s="473"/>
      <c r="L227" s="473"/>
      <c r="M227" s="193" t="s">
        <v>444</v>
      </c>
      <c r="N227" s="458">
        <v>0</v>
      </c>
      <c r="O227" s="470">
        <v>0</v>
      </c>
      <c r="P227" s="470">
        <v>0</v>
      </c>
      <c r="Q227" s="45">
        <v>0</v>
      </c>
      <c r="R227" s="46">
        <v>0</v>
      </c>
      <c r="S227" s="41">
        <v>45865.70045138889</v>
      </c>
      <c r="T227" s="42" t="s">
        <v>41</v>
      </c>
      <c r="U227" s="43" t="s">
        <v>445</v>
      </c>
      <c r="V227" s="34">
        <f t="shared" si="9"/>
        <v>46046.375</v>
      </c>
      <c r="W227" s="471">
        <f t="shared" si="10"/>
        <v>46046.333333333328</v>
      </c>
      <c r="X227" s="35">
        <f t="shared" si="11"/>
        <v>46046.291666666664</v>
      </c>
    </row>
    <row r="228" spans="1:24" ht="21" customHeight="1" thickBot="1">
      <c r="A228" s="290">
        <v>23</v>
      </c>
      <c r="B228" s="172">
        <v>46046</v>
      </c>
      <c r="C228" s="331">
        <v>46046.416666666664</v>
      </c>
      <c r="D228" s="335">
        <v>46046.625</v>
      </c>
      <c r="E228" s="335">
        <v>46046.75</v>
      </c>
      <c r="F228" s="335">
        <v>46046.791666666664</v>
      </c>
      <c r="G228" s="326">
        <v>46046.958333333336</v>
      </c>
      <c r="H228" s="178" t="s">
        <v>299</v>
      </c>
      <c r="I228" s="175" t="s">
        <v>157</v>
      </c>
      <c r="J228" s="188" t="s">
        <v>108</v>
      </c>
      <c r="K228" s="473"/>
      <c r="L228" s="473"/>
      <c r="M228" s="193" t="s">
        <v>4</v>
      </c>
      <c r="N228" s="458">
        <v>0</v>
      </c>
      <c r="O228" s="470">
        <v>0</v>
      </c>
      <c r="P228" s="470">
        <v>0</v>
      </c>
      <c r="Q228" s="45">
        <v>0</v>
      </c>
      <c r="R228" s="46">
        <v>0</v>
      </c>
      <c r="S228" s="41">
        <v>45865.70045138889</v>
      </c>
      <c r="T228" s="42" t="s">
        <v>41</v>
      </c>
      <c r="U228" s="43" t="s">
        <v>445</v>
      </c>
      <c r="V228" s="34">
        <f t="shared" si="9"/>
        <v>46046.375</v>
      </c>
      <c r="W228" s="471">
        <f t="shared" si="10"/>
        <v>46046.333333333328</v>
      </c>
      <c r="X228" s="35">
        <f t="shared" si="11"/>
        <v>46046.291666666664</v>
      </c>
    </row>
    <row r="229" spans="1:24" ht="21" customHeight="1" thickBot="1">
      <c r="A229" s="290">
        <v>23</v>
      </c>
      <c r="B229" s="172">
        <v>46046</v>
      </c>
      <c r="C229" s="331">
        <v>46046.416666666664</v>
      </c>
      <c r="D229" s="335">
        <v>46046.625</v>
      </c>
      <c r="E229" s="335">
        <v>46046.75</v>
      </c>
      <c r="F229" s="335">
        <v>46046.791666666664</v>
      </c>
      <c r="G229" s="326">
        <v>46046.958333333336</v>
      </c>
      <c r="H229" s="178" t="s">
        <v>415</v>
      </c>
      <c r="I229" s="175" t="s">
        <v>50</v>
      </c>
      <c r="J229" s="188" t="s">
        <v>10</v>
      </c>
      <c r="K229" s="473"/>
      <c r="L229" s="473"/>
      <c r="M229" s="193" t="s">
        <v>15</v>
      </c>
      <c r="N229" s="458">
        <v>0</v>
      </c>
      <c r="O229" s="470">
        <v>0</v>
      </c>
      <c r="P229" s="470">
        <v>0</v>
      </c>
      <c r="Q229" s="45">
        <v>0</v>
      </c>
      <c r="R229" s="46">
        <v>0</v>
      </c>
      <c r="S229" s="41">
        <v>45865.70045138889</v>
      </c>
      <c r="T229" s="42" t="s">
        <v>41</v>
      </c>
      <c r="U229" s="43" t="s">
        <v>445</v>
      </c>
      <c r="V229" s="34">
        <f t="shared" si="9"/>
        <v>46046.375</v>
      </c>
      <c r="W229" s="471">
        <f t="shared" si="10"/>
        <v>46046.333333333328</v>
      </c>
      <c r="X229" s="35">
        <f t="shared" si="11"/>
        <v>46046.291666666664</v>
      </c>
    </row>
    <row r="230" spans="1:24" ht="21" customHeight="1" thickBot="1">
      <c r="A230" s="290">
        <v>23</v>
      </c>
      <c r="B230" s="172">
        <v>46046</v>
      </c>
      <c r="C230" s="331">
        <v>46046.416666666664</v>
      </c>
      <c r="D230" s="335">
        <v>46046.625</v>
      </c>
      <c r="E230" s="335">
        <v>46046.75</v>
      </c>
      <c r="F230" s="335">
        <v>46046.791666666664</v>
      </c>
      <c r="G230" s="326">
        <v>46046.958333333336</v>
      </c>
      <c r="H230" s="178" t="s">
        <v>317</v>
      </c>
      <c r="I230" s="175" t="s">
        <v>46</v>
      </c>
      <c r="J230" s="188" t="s">
        <v>12</v>
      </c>
      <c r="K230" s="473"/>
      <c r="L230" s="473"/>
      <c r="M230" s="193" t="s">
        <v>2</v>
      </c>
      <c r="N230" s="458">
        <v>0</v>
      </c>
      <c r="O230" s="470">
        <v>0</v>
      </c>
      <c r="P230" s="470">
        <v>0</v>
      </c>
      <c r="Q230" s="45">
        <v>0</v>
      </c>
      <c r="R230" s="46">
        <v>0</v>
      </c>
      <c r="S230" s="41">
        <v>45865.70045138889</v>
      </c>
      <c r="T230" s="42" t="s">
        <v>41</v>
      </c>
      <c r="U230" s="43" t="s">
        <v>445</v>
      </c>
      <c r="V230" s="34">
        <f t="shared" si="9"/>
        <v>46046.375</v>
      </c>
      <c r="W230" s="471">
        <f t="shared" si="10"/>
        <v>46046.333333333328</v>
      </c>
      <c r="X230" s="35">
        <f t="shared" si="11"/>
        <v>46046.291666666664</v>
      </c>
    </row>
    <row r="231" spans="1:24" ht="21" customHeight="1" thickBot="1">
      <c r="A231" s="290">
        <v>23</v>
      </c>
      <c r="B231" s="172">
        <v>46046</v>
      </c>
      <c r="C231" s="331">
        <v>46046.416666666664</v>
      </c>
      <c r="D231" s="335">
        <v>46046.625</v>
      </c>
      <c r="E231" s="335">
        <v>46046.75</v>
      </c>
      <c r="F231" s="335">
        <v>46046.791666666664</v>
      </c>
      <c r="G231" s="326">
        <v>46046.958333333336</v>
      </c>
      <c r="H231" s="178" t="s">
        <v>490</v>
      </c>
      <c r="I231" s="175" t="s">
        <v>42</v>
      </c>
      <c r="J231" s="188" t="s">
        <v>14</v>
      </c>
      <c r="K231" s="473"/>
      <c r="L231" s="473"/>
      <c r="M231" s="193" t="s">
        <v>443</v>
      </c>
      <c r="N231" s="458">
        <v>0</v>
      </c>
      <c r="O231" s="470">
        <v>0</v>
      </c>
      <c r="P231" s="470">
        <v>0</v>
      </c>
      <c r="Q231" s="45">
        <v>0</v>
      </c>
      <c r="R231" s="46">
        <v>0</v>
      </c>
      <c r="S231" s="41">
        <v>45865.70045138889</v>
      </c>
      <c r="T231" s="42" t="s">
        <v>41</v>
      </c>
      <c r="U231" s="43" t="s">
        <v>445</v>
      </c>
      <c r="V231" s="34">
        <f t="shared" si="9"/>
        <v>46046.375</v>
      </c>
      <c r="W231" s="471">
        <f t="shared" si="10"/>
        <v>46046.333333333328</v>
      </c>
      <c r="X231" s="35">
        <f t="shared" si="11"/>
        <v>46046.291666666664</v>
      </c>
    </row>
    <row r="232" spans="1:24" ht="21" customHeight="1" thickBot="1">
      <c r="A232" s="289">
        <v>24</v>
      </c>
      <c r="B232" s="171">
        <v>46053</v>
      </c>
      <c r="C232" s="330">
        <v>46053.416666666664</v>
      </c>
      <c r="D232" s="334">
        <v>46053.625</v>
      </c>
      <c r="E232" s="334">
        <v>46053.75</v>
      </c>
      <c r="F232" s="334">
        <v>46053.791666666664</v>
      </c>
      <c r="G232" s="325">
        <v>46053.958333333336</v>
      </c>
      <c r="H232" s="177" t="s">
        <v>115</v>
      </c>
      <c r="I232" s="174" t="s">
        <v>49</v>
      </c>
      <c r="J232" s="187" t="s">
        <v>2</v>
      </c>
      <c r="K232" s="473"/>
      <c r="L232" s="473"/>
      <c r="M232" s="192" t="s">
        <v>107</v>
      </c>
      <c r="N232" s="456">
        <v>0</v>
      </c>
      <c r="O232" s="457">
        <v>0</v>
      </c>
      <c r="P232" s="457">
        <v>0</v>
      </c>
      <c r="Q232" s="39">
        <v>0</v>
      </c>
      <c r="R232" s="40">
        <v>0</v>
      </c>
      <c r="S232" s="36">
        <v>45865.70045138889</v>
      </c>
      <c r="T232" s="37" t="s">
        <v>41</v>
      </c>
      <c r="U232" s="38" t="s">
        <v>445</v>
      </c>
      <c r="V232" s="56">
        <f t="shared" si="9"/>
        <v>46053.375</v>
      </c>
      <c r="W232" s="57">
        <f t="shared" si="10"/>
        <v>46053.333333333328</v>
      </c>
      <c r="X232" s="58">
        <f t="shared" si="11"/>
        <v>46053.291666666664</v>
      </c>
    </row>
    <row r="233" spans="1:24" ht="21" customHeight="1" thickBot="1">
      <c r="A233" s="290">
        <v>24</v>
      </c>
      <c r="B233" s="172">
        <v>46053</v>
      </c>
      <c r="C233" s="331">
        <v>46053.416666666664</v>
      </c>
      <c r="D233" s="335">
        <v>46053.625</v>
      </c>
      <c r="E233" s="335">
        <v>46053.75</v>
      </c>
      <c r="F233" s="335">
        <v>46053.791666666664</v>
      </c>
      <c r="G233" s="326">
        <v>46053.958333333336</v>
      </c>
      <c r="H233" s="178" t="s">
        <v>345</v>
      </c>
      <c r="I233" s="175" t="s">
        <v>217</v>
      </c>
      <c r="J233" s="188" t="s">
        <v>4</v>
      </c>
      <c r="K233" s="473"/>
      <c r="L233" s="473"/>
      <c r="M233" s="193" t="s">
        <v>8</v>
      </c>
      <c r="N233" s="458">
        <v>0</v>
      </c>
      <c r="O233" s="470">
        <v>0</v>
      </c>
      <c r="P233" s="470">
        <v>0</v>
      </c>
      <c r="Q233" s="45">
        <v>0</v>
      </c>
      <c r="R233" s="46">
        <v>0</v>
      </c>
      <c r="S233" s="41">
        <v>45865.70045138889</v>
      </c>
      <c r="T233" s="42" t="s">
        <v>41</v>
      </c>
      <c r="U233" s="43" t="s">
        <v>445</v>
      </c>
      <c r="V233" s="34">
        <f t="shared" si="9"/>
        <v>46053.375</v>
      </c>
      <c r="W233" s="471">
        <f t="shared" si="10"/>
        <v>46053.333333333328</v>
      </c>
      <c r="X233" s="35">
        <f t="shared" si="11"/>
        <v>46053.291666666664</v>
      </c>
    </row>
    <row r="234" spans="1:24" ht="21" customHeight="1" thickBot="1">
      <c r="A234" s="290">
        <v>24</v>
      </c>
      <c r="B234" s="172">
        <v>46053</v>
      </c>
      <c r="C234" s="331">
        <v>46053.416666666664</v>
      </c>
      <c r="D234" s="335">
        <v>46053.625</v>
      </c>
      <c r="E234" s="335">
        <v>46053.75</v>
      </c>
      <c r="F234" s="335">
        <v>46053.791666666664</v>
      </c>
      <c r="G234" s="326">
        <v>46053.958333333336</v>
      </c>
      <c r="H234" s="178" t="s">
        <v>353</v>
      </c>
      <c r="I234" s="175" t="s">
        <v>51</v>
      </c>
      <c r="J234" s="188" t="s">
        <v>6</v>
      </c>
      <c r="K234" s="473"/>
      <c r="L234" s="473"/>
      <c r="M234" s="193" t="s">
        <v>14</v>
      </c>
      <c r="N234" s="458">
        <v>0</v>
      </c>
      <c r="O234" s="470">
        <v>0</v>
      </c>
      <c r="P234" s="470">
        <v>0</v>
      </c>
      <c r="Q234" s="45">
        <v>0</v>
      </c>
      <c r="R234" s="46">
        <v>0</v>
      </c>
      <c r="S234" s="41">
        <v>45865.70045138889</v>
      </c>
      <c r="T234" s="42" t="s">
        <v>41</v>
      </c>
      <c r="U234" s="43" t="s">
        <v>445</v>
      </c>
      <c r="V234" s="34">
        <f t="shared" si="9"/>
        <v>46053.375</v>
      </c>
      <c r="W234" s="471">
        <f t="shared" si="10"/>
        <v>46053.333333333328</v>
      </c>
      <c r="X234" s="35">
        <f t="shared" si="11"/>
        <v>46053.291666666664</v>
      </c>
    </row>
    <row r="235" spans="1:24" ht="21" customHeight="1" thickBot="1">
      <c r="A235" s="290">
        <v>24</v>
      </c>
      <c r="B235" s="172">
        <v>46053</v>
      </c>
      <c r="C235" s="331">
        <v>46053.416666666664</v>
      </c>
      <c r="D235" s="335">
        <v>46053.625</v>
      </c>
      <c r="E235" s="335">
        <v>46053.75</v>
      </c>
      <c r="F235" s="335">
        <v>46053.791666666664</v>
      </c>
      <c r="G235" s="326">
        <v>46053.958333333336</v>
      </c>
      <c r="H235" s="178" t="s">
        <v>536</v>
      </c>
      <c r="I235" s="175" t="s">
        <v>449</v>
      </c>
      <c r="J235" s="188" t="s">
        <v>444</v>
      </c>
      <c r="K235" s="473"/>
      <c r="L235" s="473"/>
      <c r="M235" s="193" t="s">
        <v>1</v>
      </c>
      <c r="N235" s="458">
        <v>0</v>
      </c>
      <c r="O235" s="470">
        <v>0</v>
      </c>
      <c r="P235" s="470">
        <v>0</v>
      </c>
      <c r="Q235" s="45">
        <v>0</v>
      </c>
      <c r="R235" s="46">
        <v>0</v>
      </c>
      <c r="S235" s="41">
        <v>45865.70045138889</v>
      </c>
      <c r="T235" s="42" t="s">
        <v>41</v>
      </c>
      <c r="U235" s="43" t="s">
        <v>445</v>
      </c>
      <c r="V235" s="34">
        <f t="shared" si="9"/>
        <v>46053.375</v>
      </c>
      <c r="W235" s="471">
        <f t="shared" si="10"/>
        <v>46053.333333333328</v>
      </c>
      <c r="X235" s="35">
        <f t="shared" si="11"/>
        <v>46053.291666666664</v>
      </c>
    </row>
    <row r="236" spans="1:24" ht="21" customHeight="1" thickBot="1">
      <c r="A236" s="290">
        <v>24</v>
      </c>
      <c r="B236" s="172">
        <v>46053</v>
      </c>
      <c r="C236" s="331">
        <v>46053.416666666664</v>
      </c>
      <c r="D236" s="335">
        <v>46053.625</v>
      </c>
      <c r="E236" s="335">
        <v>46053.75</v>
      </c>
      <c r="F236" s="335">
        <v>46053.791666666664</v>
      </c>
      <c r="G236" s="326">
        <v>46053.958333333336</v>
      </c>
      <c r="H236" s="178" t="s">
        <v>373</v>
      </c>
      <c r="I236" s="175" t="s">
        <v>40</v>
      </c>
      <c r="J236" s="188" t="s">
        <v>9</v>
      </c>
      <c r="K236" s="473"/>
      <c r="L236" s="473"/>
      <c r="M236" s="193" t="s">
        <v>12</v>
      </c>
      <c r="N236" s="458">
        <v>0</v>
      </c>
      <c r="O236" s="470">
        <v>0</v>
      </c>
      <c r="P236" s="470">
        <v>0</v>
      </c>
      <c r="Q236" s="45">
        <v>0</v>
      </c>
      <c r="R236" s="46">
        <v>0</v>
      </c>
      <c r="S236" s="41">
        <v>45865.70045138889</v>
      </c>
      <c r="T236" s="42" t="s">
        <v>41</v>
      </c>
      <c r="U236" s="43" t="s">
        <v>445</v>
      </c>
      <c r="V236" s="34">
        <f t="shared" si="9"/>
        <v>46053.375</v>
      </c>
      <c r="W236" s="471">
        <f t="shared" si="10"/>
        <v>46053.333333333328</v>
      </c>
      <c r="X236" s="35">
        <f t="shared" si="11"/>
        <v>46053.291666666664</v>
      </c>
    </row>
    <row r="237" spans="1:24" ht="21" customHeight="1" thickBot="1">
      <c r="A237" s="290">
        <v>24</v>
      </c>
      <c r="B237" s="172">
        <v>46053</v>
      </c>
      <c r="C237" s="331">
        <v>46053.416666666664</v>
      </c>
      <c r="D237" s="335">
        <v>46053.625</v>
      </c>
      <c r="E237" s="335">
        <v>46053.75</v>
      </c>
      <c r="F237" s="335">
        <v>46053.791666666664</v>
      </c>
      <c r="G237" s="326">
        <v>46053.958333333336</v>
      </c>
      <c r="H237" s="178" t="s">
        <v>219</v>
      </c>
      <c r="I237" s="175" t="s">
        <v>47</v>
      </c>
      <c r="J237" s="188" t="s">
        <v>11</v>
      </c>
      <c r="K237" s="473"/>
      <c r="L237" s="473"/>
      <c r="M237" s="193" t="s">
        <v>108</v>
      </c>
      <c r="N237" s="458">
        <v>0</v>
      </c>
      <c r="O237" s="470">
        <v>0</v>
      </c>
      <c r="P237" s="470">
        <v>0</v>
      </c>
      <c r="Q237" s="45">
        <v>0</v>
      </c>
      <c r="R237" s="46">
        <v>0</v>
      </c>
      <c r="S237" s="41">
        <v>45865.70045138889</v>
      </c>
      <c r="T237" s="42" t="s">
        <v>41</v>
      </c>
      <c r="U237" s="43" t="s">
        <v>445</v>
      </c>
      <c r="V237" s="34">
        <f t="shared" si="9"/>
        <v>46053.375</v>
      </c>
      <c r="W237" s="471">
        <f t="shared" si="10"/>
        <v>46053.333333333328</v>
      </c>
      <c r="X237" s="35">
        <f t="shared" si="11"/>
        <v>46053.291666666664</v>
      </c>
    </row>
    <row r="238" spans="1:24" ht="21" customHeight="1" thickBot="1">
      <c r="A238" s="290">
        <v>24</v>
      </c>
      <c r="B238" s="172">
        <v>46053</v>
      </c>
      <c r="C238" s="331">
        <v>46053.416666666664</v>
      </c>
      <c r="D238" s="335">
        <v>46053.625</v>
      </c>
      <c r="E238" s="335">
        <v>46053.75</v>
      </c>
      <c r="F238" s="335">
        <v>46053.791666666664</v>
      </c>
      <c r="G238" s="326">
        <v>46053.958333333336</v>
      </c>
      <c r="H238" s="178" t="s">
        <v>267</v>
      </c>
      <c r="I238" s="175" t="s">
        <v>158</v>
      </c>
      <c r="J238" s="188" t="s">
        <v>188</v>
      </c>
      <c r="K238" s="473"/>
      <c r="L238" s="473"/>
      <c r="M238" s="193" t="s">
        <v>7</v>
      </c>
      <c r="N238" s="458">
        <v>0</v>
      </c>
      <c r="O238" s="470">
        <v>0</v>
      </c>
      <c r="P238" s="470">
        <v>0</v>
      </c>
      <c r="Q238" s="45">
        <v>0</v>
      </c>
      <c r="R238" s="46">
        <v>0</v>
      </c>
      <c r="S238" s="41">
        <v>45865.70045138889</v>
      </c>
      <c r="T238" s="42" t="s">
        <v>41</v>
      </c>
      <c r="U238" s="43" t="s">
        <v>445</v>
      </c>
      <c r="V238" s="34">
        <f t="shared" si="9"/>
        <v>46053.375</v>
      </c>
      <c r="W238" s="471">
        <f t="shared" si="10"/>
        <v>46053.333333333328</v>
      </c>
      <c r="X238" s="35">
        <f t="shared" si="11"/>
        <v>46053.291666666664</v>
      </c>
    </row>
    <row r="239" spans="1:24" ht="21" customHeight="1" thickBot="1">
      <c r="A239" s="290">
        <v>24</v>
      </c>
      <c r="B239" s="172">
        <v>46053</v>
      </c>
      <c r="C239" s="331">
        <v>46053.416666666664</v>
      </c>
      <c r="D239" s="335">
        <v>46053.625</v>
      </c>
      <c r="E239" s="335">
        <v>46053.75</v>
      </c>
      <c r="F239" s="335">
        <v>46053.791666666664</v>
      </c>
      <c r="G239" s="326">
        <v>46053.958333333336</v>
      </c>
      <c r="H239" s="178" t="s">
        <v>371</v>
      </c>
      <c r="I239" s="175" t="s">
        <v>45</v>
      </c>
      <c r="J239" s="188" t="s">
        <v>13</v>
      </c>
      <c r="K239" s="473"/>
      <c r="L239" s="473"/>
      <c r="M239" s="193" t="s">
        <v>10</v>
      </c>
      <c r="N239" s="458">
        <v>0</v>
      </c>
      <c r="O239" s="470">
        <v>0</v>
      </c>
      <c r="P239" s="470">
        <v>0</v>
      </c>
      <c r="Q239" s="45">
        <v>0</v>
      </c>
      <c r="R239" s="46">
        <v>0</v>
      </c>
      <c r="S239" s="41">
        <v>45865.70045138889</v>
      </c>
      <c r="T239" s="42" t="s">
        <v>41</v>
      </c>
      <c r="U239" s="43" t="s">
        <v>445</v>
      </c>
      <c r="V239" s="34">
        <f t="shared" si="9"/>
        <v>46053.375</v>
      </c>
      <c r="W239" s="471">
        <f t="shared" si="10"/>
        <v>46053.333333333328</v>
      </c>
      <c r="X239" s="35">
        <f t="shared" si="11"/>
        <v>46053.291666666664</v>
      </c>
    </row>
    <row r="240" spans="1:24" ht="21" customHeight="1" thickBot="1">
      <c r="A240" s="290">
        <v>24</v>
      </c>
      <c r="B240" s="172">
        <v>46053</v>
      </c>
      <c r="C240" s="331">
        <v>46053.416666666664</v>
      </c>
      <c r="D240" s="335">
        <v>46053.625</v>
      </c>
      <c r="E240" s="335">
        <v>46053.75</v>
      </c>
      <c r="F240" s="335">
        <v>46053.791666666664</v>
      </c>
      <c r="G240" s="326">
        <v>46053.958333333336</v>
      </c>
      <c r="H240" s="178" t="s">
        <v>491</v>
      </c>
      <c r="I240" s="175" t="s">
        <v>448</v>
      </c>
      <c r="J240" s="188" t="s">
        <v>443</v>
      </c>
      <c r="K240" s="473"/>
      <c r="L240" s="473"/>
      <c r="M240" s="193" t="s">
        <v>5</v>
      </c>
      <c r="N240" s="458">
        <v>0</v>
      </c>
      <c r="O240" s="470">
        <v>0</v>
      </c>
      <c r="P240" s="470">
        <v>0</v>
      </c>
      <c r="Q240" s="45">
        <v>0</v>
      </c>
      <c r="R240" s="46">
        <v>0</v>
      </c>
      <c r="S240" s="41">
        <v>45865.70045138889</v>
      </c>
      <c r="T240" s="42" t="s">
        <v>41</v>
      </c>
      <c r="U240" s="43" t="s">
        <v>445</v>
      </c>
      <c r="V240" s="34">
        <f t="shared" si="9"/>
        <v>46053.375</v>
      </c>
      <c r="W240" s="471">
        <f t="shared" si="10"/>
        <v>46053.333333333328</v>
      </c>
      <c r="X240" s="35">
        <f t="shared" si="11"/>
        <v>46053.291666666664</v>
      </c>
    </row>
    <row r="241" spans="1:24" ht="21" customHeight="1" thickBot="1">
      <c r="A241" s="290">
        <v>24</v>
      </c>
      <c r="B241" s="172">
        <v>46053</v>
      </c>
      <c r="C241" s="331">
        <v>46053.416666666664</v>
      </c>
      <c r="D241" s="335">
        <v>46053.625</v>
      </c>
      <c r="E241" s="335">
        <v>46053.75</v>
      </c>
      <c r="F241" s="335">
        <v>46053.791666666664</v>
      </c>
      <c r="G241" s="326">
        <v>46053.958333333336</v>
      </c>
      <c r="H241" s="178" t="s">
        <v>290</v>
      </c>
      <c r="I241" s="175" t="s">
        <v>52</v>
      </c>
      <c r="J241" s="188" t="s">
        <v>15</v>
      </c>
      <c r="K241" s="473"/>
      <c r="L241" s="473"/>
      <c r="M241" s="193" t="s">
        <v>3</v>
      </c>
      <c r="N241" s="458">
        <v>0</v>
      </c>
      <c r="O241" s="470">
        <v>0</v>
      </c>
      <c r="P241" s="470">
        <v>0</v>
      </c>
      <c r="Q241" s="45">
        <v>0</v>
      </c>
      <c r="R241" s="46">
        <v>0</v>
      </c>
      <c r="S241" s="41">
        <v>45865.70045138889</v>
      </c>
      <c r="T241" s="42" t="s">
        <v>41</v>
      </c>
      <c r="U241" s="43" t="s">
        <v>445</v>
      </c>
      <c r="V241" s="34">
        <f t="shared" si="9"/>
        <v>46053.375</v>
      </c>
      <c r="W241" s="471">
        <f t="shared" si="10"/>
        <v>46053.333333333328</v>
      </c>
      <c r="X241" s="35">
        <f t="shared" si="11"/>
        <v>46053.291666666664</v>
      </c>
    </row>
    <row r="242" spans="1:24" ht="21" customHeight="1" thickBot="1">
      <c r="A242" s="289">
        <v>25</v>
      </c>
      <c r="B242" s="171">
        <v>46060</v>
      </c>
      <c r="C242" s="330">
        <v>46060.416666666664</v>
      </c>
      <c r="D242" s="334">
        <v>46060.625</v>
      </c>
      <c r="E242" s="334">
        <v>46060.75</v>
      </c>
      <c r="F242" s="334">
        <v>46060.791666666664</v>
      </c>
      <c r="G242" s="325">
        <v>46060.958333333336</v>
      </c>
      <c r="H242" s="177" t="s">
        <v>492</v>
      </c>
      <c r="I242" s="174" t="s">
        <v>48</v>
      </c>
      <c r="J242" s="187" t="s">
        <v>1</v>
      </c>
      <c r="K242" s="473"/>
      <c r="L242" s="473"/>
      <c r="M242" s="192" t="s">
        <v>443</v>
      </c>
      <c r="N242" s="456">
        <v>0</v>
      </c>
      <c r="O242" s="457">
        <v>0</v>
      </c>
      <c r="P242" s="457">
        <v>0</v>
      </c>
      <c r="Q242" s="39">
        <v>0</v>
      </c>
      <c r="R242" s="40">
        <v>0</v>
      </c>
      <c r="S242" s="36">
        <v>45865.70045138889</v>
      </c>
      <c r="T242" s="37" t="s">
        <v>41</v>
      </c>
      <c r="U242" s="38" t="s">
        <v>445</v>
      </c>
      <c r="V242" s="56">
        <f t="shared" si="9"/>
        <v>46060.375</v>
      </c>
      <c r="W242" s="57">
        <f t="shared" si="10"/>
        <v>46060.333333333328</v>
      </c>
      <c r="X242" s="58">
        <f t="shared" si="11"/>
        <v>46060.291666666664</v>
      </c>
    </row>
    <row r="243" spans="1:24" ht="21" customHeight="1" thickBot="1">
      <c r="A243" s="290">
        <v>25</v>
      </c>
      <c r="B243" s="172">
        <v>46060</v>
      </c>
      <c r="C243" s="331">
        <v>46060.416666666664</v>
      </c>
      <c r="D243" s="335">
        <v>46060.625</v>
      </c>
      <c r="E243" s="335">
        <v>46060.75</v>
      </c>
      <c r="F243" s="335">
        <v>46060.791666666664</v>
      </c>
      <c r="G243" s="326">
        <v>46060.958333333336</v>
      </c>
      <c r="H243" s="178" t="s">
        <v>417</v>
      </c>
      <c r="I243" s="175" t="s">
        <v>43</v>
      </c>
      <c r="J243" s="188" t="s">
        <v>3</v>
      </c>
      <c r="K243" s="473"/>
      <c r="L243" s="473"/>
      <c r="M243" s="193" t="s">
        <v>2</v>
      </c>
      <c r="N243" s="458">
        <v>0</v>
      </c>
      <c r="O243" s="470">
        <v>0</v>
      </c>
      <c r="P243" s="470">
        <v>0</v>
      </c>
      <c r="Q243" s="45">
        <v>0</v>
      </c>
      <c r="R243" s="46">
        <v>0</v>
      </c>
      <c r="S243" s="41">
        <v>45865.70045138889</v>
      </c>
      <c r="T243" s="42" t="s">
        <v>41</v>
      </c>
      <c r="U243" s="43" t="s">
        <v>445</v>
      </c>
      <c r="V243" s="34">
        <f t="shared" si="9"/>
        <v>46060.375</v>
      </c>
      <c r="W243" s="471">
        <f t="shared" si="10"/>
        <v>46060.333333333328</v>
      </c>
      <c r="X243" s="35">
        <f t="shared" si="11"/>
        <v>46060.291666666664</v>
      </c>
    </row>
    <row r="244" spans="1:24" ht="21" customHeight="1" thickBot="1">
      <c r="A244" s="290">
        <v>25</v>
      </c>
      <c r="B244" s="172">
        <v>46060</v>
      </c>
      <c r="C244" s="331">
        <v>46060.416666666664</v>
      </c>
      <c r="D244" s="335">
        <v>46060.625</v>
      </c>
      <c r="E244" s="335">
        <v>46060.75</v>
      </c>
      <c r="F244" s="335">
        <v>46060.791666666664</v>
      </c>
      <c r="G244" s="326">
        <v>46060.958333333336</v>
      </c>
      <c r="H244" s="178" t="s">
        <v>307</v>
      </c>
      <c r="I244" s="175" t="s">
        <v>217</v>
      </c>
      <c r="J244" s="188" t="s">
        <v>4</v>
      </c>
      <c r="K244" s="473"/>
      <c r="L244" s="473"/>
      <c r="M244" s="193" t="s">
        <v>7</v>
      </c>
      <c r="N244" s="458">
        <v>0</v>
      </c>
      <c r="O244" s="470">
        <v>0</v>
      </c>
      <c r="P244" s="470">
        <v>0</v>
      </c>
      <c r="Q244" s="45">
        <v>0</v>
      </c>
      <c r="R244" s="46">
        <v>0</v>
      </c>
      <c r="S244" s="41">
        <v>45865.70045138889</v>
      </c>
      <c r="T244" s="42" t="s">
        <v>41</v>
      </c>
      <c r="U244" s="43" t="s">
        <v>445</v>
      </c>
      <c r="V244" s="34">
        <f t="shared" si="9"/>
        <v>46060.375</v>
      </c>
      <c r="W244" s="471">
        <f t="shared" si="10"/>
        <v>46060.333333333328</v>
      </c>
      <c r="X244" s="35">
        <f t="shared" si="11"/>
        <v>46060.291666666664</v>
      </c>
    </row>
    <row r="245" spans="1:24" ht="21" customHeight="1" thickBot="1">
      <c r="A245" s="290">
        <v>25</v>
      </c>
      <c r="B245" s="172">
        <v>46060</v>
      </c>
      <c r="C245" s="331">
        <v>46060.416666666664</v>
      </c>
      <c r="D245" s="335">
        <v>46060.625</v>
      </c>
      <c r="E245" s="335">
        <v>46060.75</v>
      </c>
      <c r="F245" s="335">
        <v>46060.791666666664</v>
      </c>
      <c r="G245" s="326">
        <v>46060.958333333336</v>
      </c>
      <c r="H245" s="178" t="s">
        <v>493</v>
      </c>
      <c r="I245" s="175" t="s">
        <v>451</v>
      </c>
      <c r="J245" s="188" t="s">
        <v>5</v>
      </c>
      <c r="K245" s="473"/>
      <c r="L245" s="473"/>
      <c r="M245" s="193" t="s">
        <v>14</v>
      </c>
      <c r="N245" s="458">
        <v>0</v>
      </c>
      <c r="O245" s="470">
        <v>0</v>
      </c>
      <c r="P245" s="470">
        <v>0</v>
      </c>
      <c r="Q245" s="45">
        <v>0</v>
      </c>
      <c r="R245" s="46">
        <v>0</v>
      </c>
      <c r="S245" s="41">
        <v>45865.70045138889</v>
      </c>
      <c r="T245" s="42" t="s">
        <v>41</v>
      </c>
      <c r="U245" s="43" t="s">
        <v>445</v>
      </c>
      <c r="V245" s="34">
        <f t="shared" si="9"/>
        <v>46060.375</v>
      </c>
      <c r="W245" s="471">
        <f t="shared" si="10"/>
        <v>46060.333333333328</v>
      </c>
      <c r="X245" s="35">
        <f t="shared" si="11"/>
        <v>46060.291666666664</v>
      </c>
    </row>
    <row r="246" spans="1:24" ht="21" customHeight="1" thickBot="1">
      <c r="A246" s="290">
        <v>25</v>
      </c>
      <c r="B246" s="172">
        <v>46060</v>
      </c>
      <c r="C246" s="331">
        <v>46060.416666666664</v>
      </c>
      <c r="D246" s="335">
        <v>46060.625</v>
      </c>
      <c r="E246" s="335">
        <v>46060.75</v>
      </c>
      <c r="F246" s="335">
        <v>46060.791666666664</v>
      </c>
      <c r="G246" s="326">
        <v>46060.958333333336</v>
      </c>
      <c r="H246" s="178" t="s">
        <v>163</v>
      </c>
      <c r="I246" s="175" t="s">
        <v>157</v>
      </c>
      <c r="J246" s="188" t="s">
        <v>108</v>
      </c>
      <c r="K246" s="473"/>
      <c r="L246" s="473"/>
      <c r="M246" s="193" t="s">
        <v>8</v>
      </c>
      <c r="N246" s="458">
        <v>0</v>
      </c>
      <c r="O246" s="470">
        <v>0</v>
      </c>
      <c r="P246" s="470">
        <v>0</v>
      </c>
      <c r="Q246" s="45">
        <v>0</v>
      </c>
      <c r="R246" s="46">
        <v>0</v>
      </c>
      <c r="S246" s="41">
        <v>45865.70045138889</v>
      </c>
      <c r="T246" s="42" t="s">
        <v>41</v>
      </c>
      <c r="U246" s="43" t="s">
        <v>445</v>
      </c>
      <c r="V246" s="34">
        <f t="shared" si="9"/>
        <v>46060.375</v>
      </c>
      <c r="W246" s="471">
        <f t="shared" si="10"/>
        <v>46060.333333333328</v>
      </c>
      <c r="X246" s="35">
        <f t="shared" si="11"/>
        <v>46060.291666666664</v>
      </c>
    </row>
    <row r="247" spans="1:24" ht="21" customHeight="1" thickBot="1">
      <c r="A247" s="290">
        <v>25</v>
      </c>
      <c r="B247" s="172">
        <v>46060</v>
      </c>
      <c r="C247" s="331">
        <v>46060.416666666664</v>
      </c>
      <c r="D247" s="335">
        <v>46060.625</v>
      </c>
      <c r="E247" s="335">
        <v>46060.75</v>
      </c>
      <c r="F247" s="335">
        <v>46060.791666666664</v>
      </c>
      <c r="G247" s="326">
        <v>46060.958333333336</v>
      </c>
      <c r="H247" s="178" t="s">
        <v>537</v>
      </c>
      <c r="I247" s="175" t="s">
        <v>449</v>
      </c>
      <c r="J247" s="188" t="s">
        <v>444</v>
      </c>
      <c r="K247" s="473"/>
      <c r="L247" s="473"/>
      <c r="M247" s="193" t="s">
        <v>188</v>
      </c>
      <c r="N247" s="458">
        <v>0</v>
      </c>
      <c r="O247" s="470">
        <v>0</v>
      </c>
      <c r="P247" s="470">
        <v>0</v>
      </c>
      <c r="Q247" s="45">
        <v>0</v>
      </c>
      <c r="R247" s="46">
        <v>0</v>
      </c>
      <c r="S247" s="41">
        <v>45865.70045138889</v>
      </c>
      <c r="T247" s="42" t="s">
        <v>41</v>
      </c>
      <c r="U247" s="43" t="s">
        <v>445</v>
      </c>
      <c r="V247" s="34">
        <f t="shared" si="9"/>
        <v>46060.375</v>
      </c>
      <c r="W247" s="471">
        <f t="shared" si="10"/>
        <v>46060.333333333328</v>
      </c>
      <c r="X247" s="35">
        <f t="shared" si="11"/>
        <v>46060.291666666664</v>
      </c>
    </row>
    <row r="248" spans="1:24" ht="21" customHeight="1" thickBot="1">
      <c r="A248" s="290">
        <v>25</v>
      </c>
      <c r="B248" s="172">
        <v>46060</v>
      </c>
      <c r="C248" s="331">
        <v>46060.416666666664</v>
      </c>
      <c r="D248" s="335">
        <v>46060.625</v>
      </c>
      <c r="E248" s="335">
        <v>46060.75</v>
      </c>
      <c r="F248" s="335">
        <v>46060.791666666664</v>
      </c>
      <c r="G248" s="326">
        <v>46060.958333333336</v>
      </c>
      <c r="H248" s="178" t="s">
        <v>294</v>
      </c>
      <c r="I248" s="175" t="s">
        <v>40</v>
      </c>
      <c r="J248" s="188" t="s">
        <v>9</v>
      </c>
      <c r="K248" s="473"/>
      <c r="L248" s="473"/>
      <c r="M248" s="193" t="s">
        <v>10</v>
      </c>
      <c r="N248" s="458">
        <v>0</v>
      </c>
      <c r="O248" s="470">
        <v>0</v>
      </c>
      <c r="P248" s="470">
        <v>0</v>
      </c>
      <c r="Q248" s="45">
        <v>0</v>
      </c>
      <c r="R248" s="46">
        <v>0</v>
      </c>
      <c r="S248" s="41">
        <v>45865.70045138889</v>
      </c>
      <c r="T248" s="42" t="s">
        <v>41</v>
      </c>
      <c r="U248" s="43" t="s">
        <v>445</v>
      </c>
      <c r="V248" s="34">
        <f t="shared" si="9"/>
        <v>46060.375</v>
      </c>
      <c r="W248" s="471">
        <f t="shared" si="10"/>
        <v>46060.333333333328</v>
      </c>
      <c r="X248" s="35">
        <f t="shared" si="11"/>
        <v>46060.291666666664</v>
      </c>
    </row>
    <row r="249" spans="1:24" ht="21" customHeight="1" thickBot="1">
      <c r="A249" s="290">
        <v>25</v>
      </c>
      <c r="B249" s="172">
        <v>46060</v>
      </c>
      <c r="C249" s="331">
        <v>46060.416666666664</v>
      </c>
      <c r="D249" s="335">
        <v>46060.625</v>
      </c>
      <c r="E249" s="335">
        <v>46060.75</v>
      </c>
      <c r="F249" s="335">
        <v>46060.791666666664</v>
      </c>
      <c r="G249" s="326">
        <v>46060.958333333336</v>
      </c>
      <c r="H249" s="178" t="s">
        <v>255</v>
      </c>
      <c r="I249" s="175" t="s">
        <v>47</v>
      </c>
      <c r="J249" s="188" t="s">
        <v>11</v>
      </c>
      <c r="K249" s="473"/>
      <c r="L249" s="473"/>
      <c r="M249" s="193" t="s">
        <v>13</v>
      </c>
      <c r="N249" s="458">
        <v>0</v>
      </c>
      <c r="O249" s="470">
        <v>0</v>
      </c>
      <c r="P249" s="470">
        <v>0</v>
      </c>
      <c r="Q249" s="45">
        <v>0</v>
      </c>
      <c r="R249" s="46">
        <v>0</v>
      </c>
      <c r="S249" s="41">
        <v>45865.70045138889</v>
      </c>
      <c r="T249" s="42" t="s">
        <v>41</v>
      </c>
      <c r="U249" s="43" t="s">
        <v>445</v>
      </c>
      <c r="V249" s="34">
        <f t="shared" si="9"/>
        <v>46060.375</v>
      </c>
      <c r="W249" s="471">
        <f t="shared" si="10"/>
        <v>46060.333333333328</v>
      </c>
      <c r="X249" s="35">
        <f t="shared" si="11"/>
        <v>46060.291666666664</v>
      </c>
    </row>
    <row r="250" spans="1:24" ht="21" customHeight="1" thickBot="1">
      <c r="A250" s="290">
        <v>25</v>
      </c>
      <c r="B250" s="172">
        <v>46060</v>
      </c>
      <c r="C250" s="331">
        <v>46060.416666666664</v>
      </c>
      <c r="D250" s="335">
        <v>46060.625</v>
      </c>
      <c r="E250" s="335">
        <v>46060.75</v>
      </c>
      <c r="F250" s="335">
        <v>46060.791666666664</v>
      </c>
      <c r="G250" s="326">
        <v>46060.958333333336</v>
      </c>
      <c r="H250" s="178" t="s">
        <v>389</v>
      </c>
      <c r="I250" s="175" t="s">
        <v>46</v>
      </c>
      <c r="J250" s="188" t="s">
        <v>12</v>
      </c>
      <c r="K250" s="473"/>
      <c r="L250" s="473"/>
      <c r="M250" s="193" t="s">
        <v>107</v>
      </c>
      <c r="N250" s="458">
        <v>0</v>
      </c>
      <c r="O250" s="470">
        <v>0</v>
      </c>
      <c r="P250" s="470">
        <v>0</v>
      </c>
      <c r="Q250" s="45">
        <v>0</v>
      </c>
      <c r="R250" s="46">
        <v>0</v>
      </c>
      <c r="S250" s="41">
        <v>45865.70045138889</v>
      </c>
      <c r="T250" s="42" t="s">
        <v>41</v>
      </c>
      <c r="U250" s="43" t="s">
        <v>445</v>
      </c>
      <c r="V250" s="34">
        <f t="shared" si="9"/>
        <v>46060.375</v>
      </c>
      <c r="W250" s="471">
        <f t="shared" si="10"/>
        <v>46060.333333333328</v>
      </c>
      <c r="X250" s="35">
        <f t="shared" si="11"/>
        <v>46060.291666666664</v>
      </c>
    </row>
    <row r="251" spans="1:24" ht="21" customHeight="1" thickBot="1">
      <c r="A251" s="290">
        <v>25</v>
      </c>
      <c r="B251" s="172">
        <v>46060</v>
      </c>
      <c r="C251" s="331">
        <v>46060.416666666664</v>
      </c>
      <c r="D251" s="335">
        <v>46060.625</v>
      </c>
      <c r="E251" s="335">
        <v>46060.75</v>
      </c>
      <c r="F251" s="335">
        <v>46060.791666666664</v>
      </c>
      <c r="G251" s="326">
        <v>46060.958333333336</v>
      </c>
      <c r="H251" s="178" t="s">
        <v>229</v>
      </c>
      <c r="I251" s="175" t="s">
        <v>52</v>
      </c>
      <c r="J251" s="188" t="s">
        <v>15</v>
      </c>
      <c r="K251" s="473"/>
      <c r="L251" s="473"/>
      <c r="M251" s="193" t="s">
        <v>6</v>
      </c>
      <c r="N251" s="458">
        <v>0</v>
      </c>
      <c r="O251" s="470">
        <v>0</v>
      </c>
      <c r="P251" s="470">
        <v>0</v>
      </c>
      <c r="Q251" s="45">
        <v>0</v>
      </c>
      <c r="R251" s="46">
        <v>0</v>
      </c>
      <c r="S251" s="41">
        <v>45865.70045138889</v>
      </c>
      <c r="T251" s="42" t="s">
        <v>41</v>
      </c>
      <c r="U251" s="43" t="s">
        <v>445</v>
      </c>
      <c r="V251" s="34">
        <f t="shared" si="9"/>
        <v>46060.375</v>
      </c>
      <c r="W251" s="471">
        <f t="shared" si="10"/>
        <v>46060.333333333328</v>
      </c>
      <c r="X251" s="35">
        <f t="shared" si="11"/>
        <v>46060.291666666664</v>
      </c>
    </row>
    <row r="252" spans="1:24" ht="21" customHeight="1" thickBot="1">
      <c r="A252" s="289">
        <v>26</v>
      </c>
      <c r="B252" s="171">
        <v>46064</v>
      </c>
      <c r="C252" s="330">
        <v>46064.625</v>
      </c>
      <c r="D252" s="334">
        <v>46064.833333333336</v>
      </c>
      <c r="E252" s="334">
        <v>46064.958333333336</v>
      </c>
      <c r="F252" s="334">
        <v>46065</v>
      </c>
      <c r="G252" s="325">
        <v>46065.166666666664</v>
      </c>
      <c r="H252" s="177" t="s">
        <v>325</v>
      </c>
      <c r="I252" s="174" t="s">
        <v>49</v>
      </c>
      <c r="J252" s="187" t="s">
        <v>2</v>
      </c>
      <c r="K252" s="473"/>
      <c r="L252" s="473"/>
      <c r="M252" s="192" t="s">
        <v>4</v>
      </c>
      <c r="N252" s="456">
        <v>0</v>
      </c>
      <c r="O252" s="457">
        <v>0</v>
      </c>
      <c r="P252" s="457">
        <v>0</v>
      </c>
      <c r="Q252" s="39">
        <v>0</v>
      </c>
      <c r="R252" s="40">
        <v>0</v>
      </c>
      <c r="S252" s="36">
        <v>45865.70045138889</v>
      </c>
      <c r="T252" s="37" t="s">
        <v>41</v>
      </c>
      <c r="U252" s="38" t="s">
        <v>445</v>
      </c>
      <c r="V252" s="56">
        <f t="shared" si="9"/>
        <v>46064.583333333336</v>
      </c>
      <c r="W252" s="57">
        <f t="shared" si="10"/>
        <v>46064.541666666664</v>
      </c>
      <c r="X252" s="58">
        <f t="shared" si="11"/>
        <v>46064.5</v>
      </c>
    </row>
    <row r="253" spans="1:24" ht="21" customHeight="1" thickBot="1">
      <c r="A253" s="290">
        <v>26</v>
      </c>
      <c r="B253" s="172">
        <v>46064</v>
      </c>
      <c r="C253" s="331">
        <v>46064.625</v>
      </c>
      <c r="D253" s="335">
        <v>46064.833333333336</v>
      </c>
      <c r="E253" s="335">
        <v>46064.958333333336</v>
      </c>
      <c r="F253" s="335">
        <v>46065</v>
      </c>
      <c r="G253" s="326">
        <v>46065.166666666664</v>
      </c>
      <c r="H253" s="178" t="s">
        <v>111</v>
      </c>
      <c r="I253" s="175" t="s">
        <v>172</v>
      </c>
      <c r="J253" s="188" t="s">
        <v>107</v>
      </c>
      <c r="K253" s="473"/>
      <c r="L253" s="473"/>
      <c r="M253" s="193" t="s">
        <v>1</v>
      </c>
      <c r="N253" s="458">
        <v>0</v>
      </c>
      <c r="O253" s="470">
        <v>0</v>
      </c>
      <c r="P253" s="470">
        <v>0</v>
      </c>
      <c r="Q253" s="45">
        <v>0</v>
      </c>
      <c r="R253" s="46">
        <v>0</v>
      </c>
      <c r="S253" s="41">
        <v>45865.70045138889</v>
      </c>
      <c r="T253" s="42" t="s">
        <v>41</v>
      </c>
      <c r="U253" s="43" t="s">
        <v>445</v>
      </c>
      <c r="V253" s="34">
        <f t="shared" si="9"/>
        <v>46064.583333333336</v>
      </c>
      <c r="W253" s="471">
        <f t="shared" si="10"/>
        <v>46064.541666666664</v>
      </c>
      <c r="X253" s="35">
        <f t="shared" si="11"/>
        <v>46064.5</v>
      </c>
    </row>
    <row r="254" spans="1:24" ht="21" customHeight="1" thickBot="1">
      <c r="A254" s="290">
        <v>26</v>
      </c>
      <c r="B254" s="172">
        <v>46064</v>
      </c>
      <c r="C254" s="331">
        <v>46064.625</v>
      </c>
      <c r="D254" s="335">
        <v>46064.833333333336</v>
      </c>
      <c r="E254" s="335">
        <v>46064.958333333336</v>
      </c>
      <c r="F254" s="335">
        <v>46065</v>
      </c>
      <c r="G254" s="326">
        <v>46065.166666666664</v>
      </c>
      <c r="H254" s="178" t="s">
        <v>538</v>
      </c>
      <c r="I254" s="175" t="s">
        <v>51</v>
      </c>
      <c r="J254" s="188" t="s">
        <v>6</v>
      </c>
      <c r="K254" s="473"/>
      <c r="L254" s="473"/>
      <c r="M254" s="193" t="s">
        <v>444</v>
      </c>
      <c r="N254" s="458">
        <v>0</v>
      </c>
      <c r="O254" s="470">
        <v>0</v>
      </c>
      <c r="P254" s="470">
        <v>0</v>
      </c>
      <c r="Q254" s="45">
        <v>0</v>
      </c>
      <c r="R254" s="46">
        <v>0</v>
      </c>
      <c r="S254" s="41">
        <v>45865.70045138889</v>
      </c>
      <c r="T254" s="42" t="s">
        <v>41</v>
      </c>
      <c r="U254" s="43" t="s">
        <v>445</v>
      </c>
      <c r="V254" s="34">
        <f t="shared" si="9"/>
        <v>46064.583333333336</v>
      </c>
      <c r="W254" s="471">
        <f t="shared" si="10"/>
        <v>46064.541666666664</v>
      </c>
      <c r="X254" s="35">
        <f t="shared" si="11"/>
        <v>46064.5</v>
      </c>
    </row>
    <row r="255" spans="1:24" ht="21" customHeight="1" thickBot="1">
      <c r="A255" s="290">
        <v>26</v>
      </c>
      <c r="B255" s="172">
        <v>46064</v>
      </c>
      <c r="C255" s="331">
        <v>46064.625</v>
      </c>
      <c r="D255" s="335">
        <v>46064.833333333336</v>
      </c>
      <c r="E255" s="335">
        <v>46064.958333333336</v>
      </c>
      <c r="F255" s="335">
        <v>46065</v>
      </c>
      <c r="G255" s="326">
        <v>46065.166666666664</v>
      </c>
      <c r="H255" s="178" t="s">
        <v>494</v>
      </c>
      <c r="I255" s="175" t="s">
        <v>44</v>
      </c>
      <c r="J255" s="188" t="s">
        <v>7</v>
      </c>
      <c r="K255" s="473"/>
      <c r="L255" s="473"/>
      <c r="M255" s="193" t="s">
        <v>5</v>
      </c>
      <c r="N255" s="458">
        <v>0</v>
      </c>
      <c r="O255" s="470">
        <v>0</v>
      </c>
      <c r="P255" s="470">
        <v>0</v>
      </c>
      <c r="Q255" s="45">
        <v>0</v>
      </c>
      <c r="R255" s="46">
        <v>0</v>
      </c>
      <c r="S255" s="41">
        <v>45865.70045138889</v>
      </c>
      <c r="T255" s="42" t="s">
        <v>41</v>
      </c>
      <c r="U255" s="43" t="s">
        <v>445</v>
      </c>
      <c r="V255" s="34">
        <f t="shared" si="9"/>
        <v>46064.583333333336</v>
      </c>
      <c r="W255" s="471">
        <f t="shared" si="10"/>
        <v>46064.541666666664</v>
      </c>
      <c r="X255" s="35">
        <f t="shared" si="11"/>
        <v>46064.5</v>
      </c>
    </row>
    <row r="256" spans="1:24" ht="21" customHeight="1" thickBot="1">
      <c r="A256" s="290">
        <v>26</v>
      </c>
      <c r="B256" s="172">
        <v>46064</v>
      </c>
      <c r="C256" s="331">
        <v>46064.625</v>
      </c>
      <c r="D256" s="335">
        <v>46064.833333333336</v>
      </c>
      <c r="E256" s="335">
        <v>46064.958333333336</v>
      </c>
      <c r="F256" s="335">
        <v>46065</v>
      </c>
      <c r="G256" s="326">
        <v>46065.166666666664</v>
      </c>
      <c r="H256" s="178" t="s">
        <v>231</v>
      </c>
      <c r="I256" s="175" t="s">
        <v>452</v>
      </c>
      <c r="J256" s="188" t="s">
        <v>8</v>
      </c>
      <c r="K256" s="473"/>
      <c r="L256" s="473"/>
      <c r="M256" s="193" t="s">
        <v>3</v>
      </c>
      <c r="N256" s="458">
        <v>0</v>
      </c>
      <c r="O256" s="470">
        <v>0</v>
      </c>
      <c r="P256" s="470">
        <v>0</v>
      </c>
      <c r="Q256" s="45">
        <v>0</v>
      </c>
      <c r="R256" s="46">
        <v>0</v>
      </c>
      <c r="S256" s="41">
        <v>45865.70045138889</v>
      </c>
      <c r="T256" s="42" t="s">
        <v>41</v>
      </c>
      <c r="U256" s="43" t="s">
        <v>445</v>
      </c>
      <c r="V256" s="34">
        <f t="shared" si="9"/>
        <v>46064.583333333336</v>
      </c>
      <c r="W256" s="471">
        <f t="shared" si="10"/>
        <v>46064.541666666664</v>
      </c>
      <c r="X256" s="35">
        <f t="shared" si="11"/>
        <v>46064.5</v>
      </c>
    </row>
    <row r="257" spans="1:24" ht="21" customHeight="1" thickBot="1">
      <c r="A257" s="290">
        <v>26</v>
      </c>
      <c r="B257" s="172">
        <v>46064</v>
      </c>
      <c r="C257" s="331">
        <v>46064.625</v>
      </c>
      <c r="D257" s="335">
        <v>46064.833333333336</v>
      </c>
      <c r="E257" s="335">
        <v>46064.958333333336</v>
      </c>
      <c r="F257" s="335">
        <v>46065</v>
      </c>
      <c r="G257" s="326">
        <v>46065.166666666664</v>
      </c>
      <c r="H257" s="178" t="s">
        <v>257</v>
      </c>
      <c r="I257" s="175" t="s">
        <v>50</v>
      </c>
      <c r="J257" s="188" t="s">
        <v>10</v>
      </c>
      <c r="K257" s="473"/>
      <c r="L257" s="473"/>
      <c r="M257" s="193" t="s">
        <v>108</v>
      </c>
      <c r="N257" s="458">
        <v>0</v>
      </c>
      <c r="O257" s="470">
        <v>0</v>
      </c>
      <c r="P257" s="470">
        <v>0</v>
      </c>
      <c r="Q257" s="45">
        <v>0</v>
      </c>
      <c r="R257" s="46">
        <v>0</v>
      </c>
      <c r="S257" s="41">
        <v>45865.70045138889</v>
      </c>
      <c r="T257" s="42" t="s">
        <v>41</v>
      </c>
      <c r="U257" s="43" t="s">
        <v>445</v>
      </c>
      <c r="V257" s="34">
        <f t="shared" si="9"/>
        <v>46064.583333333336</v>
      </c>
      <c r="W257" s="471">
        <f t="shared" si="10"/>
        <v>46064.541666666664</v>
      </c>
      <c r="X257" s="35">
        <f t="shared" si="11"/>
        <v>46064.5</v>
      </c>
    </row>
    <row r="258" spans="1:24" ht="21" customHeight="1" thickBot="1">
      <c r="A258" s="290">
        <v>26</v>
      </c>
      <c r="B258" s="172">
        <v>46064</v>
      </c>
      <c r="C258" s="331">
        <v>46064.625</v>
      </c>
      <c r="D258" s="335">
        <v>46064.833333333336</v>
      </c>
      <c r="E258" s="335">
        <v>46064.958333333336</v>
      </c>
      <c r="F258" s="335">
        <v>46065</v>
      </c>
      <c r="G258" s="326">
        <v>46065.166666666664</v>
      </c>
      <c r="H258" s="178" t="s">
        <v>232</v>
      </c>
      <c r="I258" s="175" t="s">
        <v>158</v>
      </c>
      <c r="J258" s="188" t="s">
        <v>188</v>
      </c>
      <c r="K258" s="473"/>
      <c r="L258" s="473"/>
      <c r="M258" s="193" t="s">
        <v>15</v>
      </c>
      <c r="N258" s="458">
        <v>0</v>
      </c>
      <c r="O258" s="470">
        <v>0</v>
      </c>
      <c r="P258" s="470">
        <v>0</v>
      </c>
      <c r="Q258" s="45">
        <v>0</v>
      </c>
      <c r="R258" s="46">
        <v>0</v>
      </c>
      <c r="S258" s="41">
        <v>45865.70045138889</v>
      </c>
      <c r="T258" s="42" t="s">
        <v>41</v>
      </c>
      <c r="U258" s="43" t="s">
        <v>445</v>
      </c>
      <c r="V258" s="34">
        <f t="shared" ref="V258:V321" si="12">IF(C258&lt;&gt;"TBC",C258-1/24,"TBC")</f>
        <v>46064.583333333336</v>
      </c>
      <c r="W258" s="471">
        <f t="shared" ref="W258:W321" si="13">IF(C258&lt;&gt;"TBC",C258-1/12,"TBC")</f>
        <v>46064.541666666664</v>
      </c>
      <c r="X258" s="35">
        <f t="shared" ref="X258:X321" si="14">IF(C258&lt;&gt;"TBC",C258-1/8,"TBC")</f>
        <v>46064.5</v>
      </c>
    </row>
    <row r="259" spans="1:24" ht="21" customHeight="1" thickBot="1">
      <c r="A259" s="290">
        <v>26</v>
      </c>
      <c r="B259" s="172">
        <v>46064</v>
      </c>
      <c r="C259" s="331">
        <v>46064.625</v>
      </c>
      <c r="D259" s="335">
        <v>46064.833333333336</v>
      </c>
      <c r="E259" s="335">
        <v>46064.958333333336</v>
      </c>
      <c r="F259" s="335">
        <v>46065</v>
      </c>
      <c r="G259" s="326">
        <v>46065.166666666664</v>
      </c>
      <c r="H259" s="178" t="s">
        <v>327</v>
      </c>
      <c r="I259" s="175" t="s">
        <v>45</v>
      </c>
      <c r="J259" s="188" t="s">
        <v>13</v>
      </c>
      <c r="K259" s="473"/>
      <c r="L259" s="473"/>
      <c r="M259" s="193" t="s">
        <v>12</v>
      </c>
      <c r="N259" s="458">
        <v>0</v>
      </c>
      <c r="O259" s="470">
        <v>0</v>
      </c>
      <c r="P259" s="470">
        <v>0</v>
      </c>
      <c r="Q259" s="45">
        <v>0</v>
      </c>
      <c r="R259" s="46">
        <v>0</v>
      </c>
      <c r="S259" s="41">
        <v>45865.70045138889</v>
      </c>
      <c r="T259" s="42" t="s">
        <v>41</v>
      </c>
      <c r="U259" s="43" t="s">
        <v>445</v>
      </c>
      <c r="V259" s="34">
        <f t="shared" si="12"/>
        <v>46064.583333333336</v>
      </c>
      <c r="W259" s="471">
        <f t="shared" si="13"/>
        <v>46064.541666666664</v>
      </c>
      <c r="X259" s="35">
        <f t="shared" si="14"/>
        <v>46064.5</v>
      </c>
    </row>
    <row r="260" spans="1:24" ht="21" customHeight="1" thickBot="1">
      <c r="A260" s="290">
        <v>26</v>
      </c>
      <c r="B260" s="172">
        <v>46064</v>
      </c>
      <c r="C260" s="331">
        <v>46064.625</v>
      </c>
      <c r="D260" s="335">
        <v>46064.833333333336</v>
      </c>
      <c r="E260" s="335">
        <v>46064.958333333336</v>
      </c>
      <c r="F260" s="335">
        <v>46065</v>
      </c>
      <c r="G260" s="326">
        <v>46065.166666666664</v>
      </c>
      <c r="H260" s="178" t="s">
        <v>495</v>
      </c>
      <c r="I260" s="175" t="s">
        <v>448</v>
      </c>
      <c r="J260" s="188" t="s">
        <v>443</v>
      </c>
      <c r="K260" s="473"/>
      <c r="L260" s="473"/>
      <c r="M260" s="193" t="s">
        <v>9</v>
      </c>
      <c r="N260" s="458">
        <v>0</v>
      </c>
      <c r="O260" s="470">
        <v>0</v>
      </c>
      <c r="P260" s="470">
        <v>0</v>
      </c>
      <c r="Q260" s="45">
        <v>0</v>
      </c>
      <c r="R260" s="46">
        <v>0</v>
      </c>
      <c r="S260" s="41">
        <v>45865.70045138889</v>
      </c>
      <c r="T260" s="42" t="s">
        <v>41</v>
      </c>
      <c r="U260" s="43" t="s">
        <v>445</v>
      </c>
      <c r="V260" s="34">
        <f t="shared" si="12"/>
        <v>46064.583333333336</v>
      </c>
      <c r="W260" s="471">
        <f t="shared" si="13"/>
        <v>46064.541666666664</v>
      </c>
      <c r="X260" s="35">
        <f t="shared" si="14"/>
        <v>46064.5</v>
      </c>
    </row>
    <row r="261" spans="1:24" ht="21" customHeight="1" thickBot="1">
      <c r="A261" s="290">
        <v>26</v>
      </c>
      <c r="B261" s="172">
        <v>46064</v>
      </c>
      <c r="C261" s="331">
        <v>46064.625</v>
      </c>
      <c r="D261" s="335">
        <v>46064.833333333336</v>
      </c>
      <c r="E261" s="335">
        <v>46064.958333333336</v>
      </c>
      <c r="F261" s="335">
        <v>46065</v>
      </c>
      <c r="G261" s="326">
        <v>46065.166666666664</v>
      </c>
      <c r="H261" s="178" t="s">
        <v>272</v>
      </c>
      <c r="I261" s="175" t="s">
        <v>42</v>
      </c>
      <c r="J261" s="188" t="s">
        <v>14</v>
      </c>
      <c r="K261" s="473"/>
      <c r="L261" s="473"/>
      <c r="M261" s="193" t="s">
        <v>11</v>
      </c>
      <c r="N261" s="458">
        <v>0</v>
      </c>
      <c r="O261" s="470">
        <v>0</v>
      </c>
      <c r="P261" s="470">
        <v>0</v>
      </c>
      <c r="Q261" s="45">
        <v>0</v>
      </c>
      <c r="R261" s="46">
        <v>0</v>
      </c>
      <c r="S261" s="41">
        <v>45865.70045138889</v>
      </c>
      <c r="T261" s="42" t="s">
        <v>41</v>
      </c>
      <c r="U261" s="43" t="s">
        <v>445</v>
      </c>
      <c r="V261" s="34">
        <f t="shared" si="12"/>
        <v>46064.583333333336</v>
      </c>
      <c r="W261" s="471">
        <f t="shared" si="13"/>
        <v>46064.541666666664</v>
      </c>
      <c r="X261" s="35">
        <f t="shared" si="14"/>
        <v>46064.5</v>
      </c>
    </row>
    <row r="262" spans="1:24" ht="21" customHeight="1" thickBot="1">
      <c r="A262" s="289">
        <v>27</v>
      </c>
      <c r="B262" s="171">
        <v>46074</v>
      </c>
      <c r="C262" s="330">
        <v>46074.416666666664</v>
      </c>
      <c r="D262" s="334">
        <v>46074.625</v>
      </c>
      <c r="E262" s="334">
        <v>46074.75</v>
      </c>
      <c r="F262" s="334">
        <v>46074.791666666664</v>
      </c>
      <c r="G262" s="325">
        <v>46074.958333333336</v>
      </c>
      <c r="H262" s="177" t="s">
        <v>539</v>
      </c>
      <c r="I262" s="174" t="s">
        <v>49</v>
      </c>
      <c r="J262" s="187" t="s">
        <v>2</v>
      </c>
      <c r="K262" s="473"/>
      <c r="L262" s="473"/>
      <c r="M262" s="192" t="s">
        <v>444</v>
      </c>
      <c r="N262" s="456">
        <v>0</v>
      </c>
      <c r="O262" s="457">
        <v>0</v>
      </c>
      <c r="P262" s="457">
        <v>0</v>
      </c>
      <c r="Q262" s="39">
        <v>0</v>
      </c>
      <c r="R262" s="40">
        <v>0</v>
      </c>
      <c r="S262" s="36">
        <v>45865.70045138889</v>
      </c>
      <c r="T262" s="37" t="s">
        <v>41</v>
      </c>
      <c r="U262" s="38" t="s">
        <v>445</v>
      </c>
      <c r="V262" s="56">
        <f t="shared" si="12"/>
        <v>46074.375</v>
      </c>
      <c r="W262" s="57">
        <f t="shared" si="13"/>
        <v>46074.333333333328</v>
      </c>
      <c r="X262" s="58">
        <f t="shared" si="14"/>
        <v>46074.291666666664</v>
      </c>
    </row>
    <row r="263" spans="1:24" ht="21" customHeight="1" thickBot="1">
      <c r="A263" s="290">
        <v>27</v>
      </c>
      <c r="B263" s="172">
        <v>46074</v>
      </c>
      <c r="C263" s="331">
        <v>46074.416666666664</v>
      </c>
      <c r="D263" s="335">
        <v>46074.625</v>
      </c>
      <c r="E263" s="335">
        <v>46074.75</v>
      </c>
      <c r="F263" s="335">
        <v>46074.791666666664</v>
      </c>
      <c r="G263" s="326">
        <v>46074.958333333336</v>
      </c>
      <c r="H263" s="178" t="s">
        <v>401</v>
      </c>
      <c r="I263" s="175" t="s">
        <v>172</v>
      </c>
      <c r="J263" s="188" t="s">
        <v>107</v>
      </c>
      <c r="K263" s="473"/>
      <c r="L263" s="473"/>
      <c r="M263" s="193" t="s">
        <v>4</v>
      </c>
      <c r="N263" s="458">
        <v>0</v>
      </c>
      <c r="O263" s="470">
        <v>0</v>
      </c>
      <c r="P263" s="470">
        <v>0</v>
      </c>
      <c r="Q263" s="45">
        <v>0</v>
      </c>
      <c r="R263" s="46">
        <v>0</v>
      </c>
      <c r="S263" s="41">
        <v>45865.70045138889</v>
      </c>
      <c r="T263" s="42" t="s">
        <v>41</v>
      </c>
      <c r="U263" s="43" t="s">
        <v>445</v>
      </c>
      <c r="V263" s="34">
        <f t="shared" si="12"/>
        <v>46074.375</v>
      </c>
      <c r="W263" s="471">
        <f t="shared" si="13"/>
        <v>46074.333333333328</v>
      </c>
      <c r="X263" s="35">
        <f t="shared" si="14"/>
        <v>46074.291666666664</v>
      </c>
    </row>
    <row r="264" spans="1:24" ht="21" customHeight="1" thickBot="1">
      <c r="A264" s="290">
        <v>27</v>
      </c>
      <c r="B264" s="172">
        <v>46074</v>
      </c>
      <c r="C264" s="331">
        <v>46074.416666666664</v>
      </c>
      <c r="D264" s="335">
        <v>46074.625</v>
      </c>
      <c r="E264" s="335">
        <v>46074.75</v>
      </c>
      <c r="F264" s="335">
        <v>46074.791666666664</v>
      </c>
      <c r="G264" s="326">
        <v>46074.958333333336</v>
      </c>
      <c r="H264" s="178" t="s">
        <v>496</v>
      </c>
      <c r="I264" s="175" t="s">
        <v>51</v>
      </c>
      <c r="J264" s="188" t="s">
        <v>6</v>
      </c>
      <c r="K264" s="473"/>
      <c r="L264" s="473"/>
      <c r="M264" s="193" t="s">
        <v>5</v>
      </c>
      <c r="N264" s="458">
        <v>0</v>
      </c>
      <c r="O264" s="470">
        <v>0</v>
      </c>
      <c r="P264" s="470">
        <v>0</v>
      </c>
      <c r="Q264" s="45">
        <v>0</v>
      </c>
      <c r="R264" s="46">
        <v>0</v>
      </c>
      <c r="S264" s="41">
        <v>45865.70045138889</v>
      </c>
      <c r="T264" s="42" t="s">
        <v>41</v>
      </c>
      <c r="U264" s="43" t="s">
        <v>445</v>
      </c>
      <c r="V264" s="34">
        <f t="shared" si="12"/>
        <v>46074.375</v>
      </c>
      <c r="W264" s="471">
        <f t="shared" si="13"/>
        <v>46074.333333333328</v>
      </c>
      <c r="X264" s="35">
        <f t="shared" si="14"/>
        <v>46074.291666666664</v>
      </c>
    </row>
    <row r="265" spans="1:24" ht="21" customHeight="1" thickBot="1">
      <c r="A265" s="290">
        <v>27</v>
      </c>
      <c r="B265" s="172">
        <v>46074</v>
      </c>
      <c r="C265" s="331">
        <v>46074.416666666664</v>
      </c>
      <c r="D265" s="335">
        <v>46074.625</v>
      </c>
      <c r="E265" s="335">
        <v>46074.75</v>
      </c>
      <c r="F265" s="335">
        <v>46074.791666666664</v>
      </c>
      <c r="G265" s="326">
        <v>46074.958333333336</v>
      </c>
      <c r="H265" s="178" t="s">
        <v>426</v>
      </c>
      <c r="I265" s="175" t="s">
        <v>44</v>
      </c>
      <c r="J265" s="188" t="s">
        <v>7</v>
      </c>
      <c r="K265" s="473"/>
      <c r="L265" s="473"/>
      <c r="M265" s="193" t="s">
        <v>15</v>
      </c>
      <c r="N265" s="458">
        <v>0</v>
      </c>
      <c r="O265" s="470">
        <v>0</v>
      </c>
      <c r="P265" s="470">
        <v>0</v>
      </c>
      <c r="Q265" s="45">
        <v>0</v>
      </c>
      <c r="R265" s="46">
        <v>0</v>
      </c>
      <c r="S265" s="41">
        <v>45865.70045138889</v>
      </c>
      <c r="T265" s="42" t="s">
        <v>41</v>
      </c>
      <c r="U265" s="43" t="s">
        <v>445</v>
      </c>
      <c r="V265" s="34">
        <f t="shared" si="12"/>
        <v>46074.375</v>
      </c>
      <c r="W265" s="471">
        <f t="shared" si="13"/>
        <v>46074.333333333328</v>
      </c>
      <c r="X265" s="35">
        <f t="shared" si="14"/>
        <v>46074.291666666664</v>
      </c>
    </row>
    <row r="266" spans="1:24" ht="21" customHeight="1" thickBot="1">
      <c r="A266" s="290">
        <v>27</v>
      </c>
      <c r="B266" s="172">
        <v>46074</v>
      </c>
      <c r="C266" s="331">
        <v>46074.416666666664</v>
      </c>
      <c r="D266" s="335">
        <v>46074.625</v>
      </c>
      <c r="E266" s="335">
        <v>46074.75</v>
      </c>
      <c r="F266" s="335">
        <v>46074.791666666664</v>
      </c>
      <c r="G266" s="326">
        <v>46074.958333333336</v>
      </c>
      <c r="H266" s="178" t="s">
        <v>366</v>
      </c>
      <c r="I266" s="175" t="s">
        <v>452</v>
      </c>
      <c r="J266" s="188" t="s">
        <v>8</v>
      </c>
      <c r="K266" s="473"/>
      <c r="L266" s="473"/>
      <c r="M266" s="193" t="s">
        <v>11</v>
      </c>
      <c r="N266" s="458">
        <v>0</v>
      </c>
      <c r="O266" s="470">
        <v>0</v>
      </c>
      <c r="P266" s="470">
        <v>0</v>
      </c>
      <c r="Q266" s="45">
        <v>0</v>
      </c>
      <c r="R266" s="46">
        <v>0</v>
      </c>
      <c r="S266" s="41">
        <v>45865.70045138889</v>
      </c>
      <c r="T266" s="42" t="s">
        <v>41</v>
      </c>
      <c r="U266" s="43" t="s">
        <v>445</v>
      </c>
      <c r="V266" s="34">
        <f t="shared" si="12"/>
        <v>46074.375</v>
      </c>
      <c r="W266" s="471">
        <f t="shared" si="13"/>
        <v>46074.333333333328</v>
      </c>
      <c r="X266" s="35">
        <f t="shared" si="14"/>
        <v>46074.291666666664</v>
      </c>
    </row>
    <row r="267" spans="1:24" ht="21" customHeight="1" thickBot="1">
      <c r="A267" s="290">
        <v>27</v>
      </c>
      <c r="B267" s="172">
        <v>46074</v>
      </c>
      <c r="C267" s="331">
        <v>46074.416666666664</v>
      </c>
      <c r="D267" s="335">
        <v>46074.625</v>
      </c>
      <c r="E267" s="335">
        <v>46074.75</v>
      </c>
      <c r="F267" s="335">
        <v>46074.791666666664</v>
      </c>
      <c r="G267" s="326">
        <v>46074.958333333336</v>
      </c>
      <c r="H267" s="178" t="s">
        <v>361</v>
      </c>
      <c r="I267" s="175" t="s">
        <v>50</v>
      </c>
      <c r="J267" s="188" t="s">
        <v>10</v>
      </c>
      <c r="K267" s="473"/>
      <c r="L267" s="473"/>
      <c r="M267" s="193" t="s">
        <v>12</v>
      </c>
      <c r="N267" s="458">
        <v>0</v>
      </c>
      <c r="O267" s="470">
        <v>0</v>
      </c>
      <c r="P267" s="470">
        <v>0</v>
      </c>
      <c r="Q267" s="45">
        <v>0</v>
      </c>
      <c r="R267" s="46">
        <v>0</v>
      </c>
      <c r="S267" s="41">
        <v>45865.70045138889</v>
      </c>
      <c r="T267" s="42" t="s">
        <v>41</v>
      </c>
      <c r="U267" s="43" t="s">
        <v>445</v>
      </c>
      <c r="V267" s="34">
        <f t="shared" si="12"/>
        <v>46074.375</v>
      </c>
      <c r="W267" s="471">
        <f t="shared" si="13"/>
        <v>46074.333333333328</v>
      </c>
      <c r="X267" s="35">
        <f t="shared" si="14"/>
        <v>46074.291666666664</v>
      </c>
    </row>
    <row r="268" spans="1:24" ht="21" customHeight="1" thickBot="1">
      <c r="A268" s="290">
        <v>27</v>
      </c>
      <c r="B268" s="172">
        <v>46074</v>
      </c>
      <c r="C268" s="331">
        <v>46074.416666666664</v>
      </c>
      <c r="D268" s="335">
        <v>46074.625</v>
      </c>
      <c r="E268" s="335">
        <v>46074.75</v>
      </c>
      <c r="F268" s="335">
        <v>46074.791666666664</v>
      </c>
      <c r="G268" s="326">
        <v>46074.958333333336</v>
      </c>
      <c r="H268" s="178" t="s">
        <v>336</v>
      </c>
      <c r="I268" s="175" t="s">
        <v>158</v>
      </c>
      <c r="J268" s="188" t="s">
        <v>188</v>
      </c>
      <c r="K268" s="473"/>
      <c r="L268" s="473"/>
      <c r="M268" s="193" t="s">
        <v>9</v>
      </c>
      <c r="N268" s="458">
        <v>0</v>
      </c>
      <c r="O268" s="470">
        <v>0</v>
      </c>
      <c r="P268" s="470">
        <v>0</v>
      </c>
      <c r="Q268" s="45">
        <v>0</v>
      </c>
      <c r="R268" s="46">
        <v>0</v>
      </c>
      <c r="S268" s="41">
        <v>45865.70045138889</v>
      </c>
      <c r="T268" s="42" t="s">
        <v>41</v>
      </c>
      <c r="U268" s="43" t="s">
        <v>445</v>
      </c>
      <c r="V268" s="34">
        <f t="shared" si="12"/>
        <v>46074.375</v>
      </c>
      <c r="W268" s="471">
        <f t="shared" si="13"/>
        <v>46074.333333333328</v>
      </c>
      <c r="X268" s="35">
        <f t="shared" si="14"/>
        <v>46074.291666666664</v>
      </c>
    </row>
    <row r="269" spans="1:24" ht="21" customHeight="1" thickBot="1">
      <c r="A269" s="290">
        <v>27</v>
      </c>
      <c r="B269" s="172">
        <v>46074</v>
      </c>
      <c r="C269" s="331">
        <v>46074.416666666664</v>
      </c>
      <c r="D269" s="335">
        <v>46074.625</v>
      </c>
      <c r="E269" s="335">
        <v>46074.75</v>
      </c>
      <c r="F269" s="335">
        <v>46074.791666666664</v>
      </c>
      <c r="G269" s="326">
        <v>46074.958333333336</v>
      </c>
      <c r="H269" s="178" t="s">
        <v>240</v>
      </c>
      <c r="I269" s="175" t="s">
        <v>45</v>
      </c>
      <c r="J269" s="188" t="s">
        <v>13</v>
      </c>
      <c r="K269" s="473"/>
      <c r="L269" s="473"/>
      <c r="M269" s="193" t="s">
        <v>1</v>
      </c>
      <c r="N269" s="458">
        <v>0</v>
      </c>
      <c r="O269" s="470">
        <v>0</v>
      </c>
      <c r="P269" s="470">
        <v>0</v>
      </c>
      <c r="Q269" s="45">
        <v>0</v>
      </c>
      <c r="R269" s="46">
        <v>0</v>
      </c>
      <c r="S269" s="41">
        <v>45865.70045138889</v>
      </c>
      <c r="T269" s="42" t="s">
        <v>41</v>
      </c>
      <c r="U269" s="43" t="s">
        <v>445</v>
      </c>
      <c r="V269" s="34">
        <f t="shared" si="12"/>
        <v>46074.375</v>
      </c>
      <c r="W269" s="471">
        <f t="shared" si="13"/>
        <v>46074.333333333328</v>
      </c>
      <c r="X269" s="35">
        <f t="shared" si="14"/>
        <v>46074.291666666664</v>
      </c>
    </row>
    <row r="270" spans="1:24" ht="21" customHeight="1" thickBot="1">
      <c r="A270" s="290">
        <v>27</v>
      </c>
      <c r="B270" s="172">
        <v>46074</v>
      </c>
      <c r="C270" s="331">
        <v>46074.416666666664</v>
      </c>
      <c r="D270" s="335">
        <v>46074.625</v>
      </c>
      <c r="E270" s="335">
        <v>46074.75</v>
      </c>
      <c r="F270" s="335">
        <v>46074.791666666664</v>
      </c>
      <c r="G270" s="326">
        <v>46074.958333333336</v>
      </c>
      <c r="H270" s="178" t="s">
        <v>497</v>
      </c>
      <c r="I270" s="175" t="s">
        <v>448</v>
      </c>
      <c r="J270" s="188" t="s">
        <v>443</v>
      </c>
      <c r="K270" s="473"/>
      <c r="L270" s="473"/>
      <c r="M270" s="193" t="s">
        <v>108</v>
      </c>
      <c r="N270" s="458">
        <v>0</v>
      </c>
      <c r="O270" s="470">
        <v>0</v>
      </c>
      <c r="P270" s="470">
        <v>0</v>
      </c>
      <c r="Q270" s="45">
        <v>0</v>
      </c>
      <c r="R270" s="46">
        <v>0</v>
      </c>
      <c r="S270" s="41">
        <v>45865.70045138889</v>
      </c>
      <c r="T270" s="42" t="s">
        <v>41</v>
      </c>
      <c r="U270" s="43" t="s">
        <v>445</v>
      </c>
      <c r="V270" s="34">
        <f t="shared" si="12"/>
        <v>46074.375</v>
      </c>
      <c r="W270" s="471">
        <f t="shared" si="13"/>
        <v>46074.333333333328</v>
      </c>
      <c r="X270" s="35">
        <f t="shared" si="14"/>
        <v>46074.291666666664</v>
      </c>
    </row>
    <row r="271" spans="1:24" ht="21" customHeight="1" thickBot="1">
      <c r="A271" s="290">
        <v>27</v>
      </c>
      <c r="B271" s="172">
        <v>46074</v>
      </c>
      <c r="C271" s="331">
        <v>46074.416666666664</v>
      </c>
      <c r="D271" s="335">
        <v>46074.625</v>
      </c>
      <c r="E271" s="335">
        <v>46074.75</v>
      </c>
      <c r="F271" s="335">
        <v>46074.791666666664</v>
      </c>
      <c r="G271" s="326">
        <v>46074.958333333336</v>
      </c>
      <c r="H271" s="178" t="s">
        <v>393</v>
      </c>
      <c r="I271" s="175" t="s">
        <v>42</v>
      </c>
      <c r="J271" s="188" t="s">
        <v>14</v>
      </c>
      <c r="K271" s="473"/>
      <c r="L271" s="473"/>
      <c r="M271" s="193" t="s">
        <v>3</v>
      </c>
      <c r="N271" s="458">
        <v>0</v>
      </c>
      <c r="O271" s="470">
        <v>0</v>
      </c>
      <c r="P271" s="470">
        <v>0</v>
      </c>
      <c r="Q271" s="45">
        <v>0</v>
      </c>
      <c r="R271" s="46">
        <v>0</v>
      </c>
      <c r="S271" s="41">
        <v>45865.70045138889</v>
      </c>
      <c r="T271" s="42" t="s">
        <v>41</v>
      </c>
      <c r="U271" s="43" t="s">
        <v>445</v>
      </c>
      <c r="V271" s="34">
        <f t="shared" si="12"/>
        <v>46074.375</v>
      </c>
      <c r="W271" s="471">
        <f t="shared" si="13"/>
        <v>46074.333333333328</v>
      </c>
      <c r="X271" s="35">
        <f t="shared" si="14"/>
        <v>46074.291666666664</v>
      </c>
    </row>
    <row r="272" spans="1:24" ht="21" customHeight="1" thickBot="1">
      <c r="A272" s="289">
        <v>28</v>
      </c>
      <c r="B272" s="171">
        <v>46081</v>
      </c>
      <c r="C272" s="330">
        <v>46081.416666666664</v>
      </c>
      <c r="D272" s="334">
        <v>46081.625</v>
      </c>
      <c r="E272" s="334">
        <v>46081.75</v>
      </c>
      <c r="F272" s="334">
        <v>46081.791666666664</v>
      </c>
      <c r="G272" s="325">
        <v>46081.958333333336</v>
      </c>
      <c r="H272" s="177" t="s">
        <v>114</v>
      </c>
      <c r="I272" s="174" t="s">
        <v>48</v>
      </c>
      <c r="J272" s="187" t="s">
        <v>1</v>
      </c>
      <c r="K272" s="473"/>
      <c r="L272" s="473"/>
      <c r="M272" s="192" t="s">
        <v>6</v>
      </c>
      <c r="N272" s="456">
        <v>0</v>
      </c>
      <c r="O272" s="457">
        <v>0</v>
      </c>
      <c r="P272" s="457">
        <v>0</v>
      </c>
      <c r="Q272" s="39">
        <v>0</v>
      </c>
      <c r="R272" s="40">
        <v>0</v>
      </c>
      <c r="S272" s="36">
        <v>45865.70045138889</v>
      </c>
      <c r="T272" s="37" t="s">
        <v>41</v>
      </c>
      <c r="U272" s="38" t="s">
        <v>445</v>
      </c>
      <c r="V272" s="56">
        <f t="shared" si="12"/>
        <v>46081.375</v>
      </c>
      <c r="W272" s="57">
        <f t="shared" si="13"/>
        <v>46081.333333333328</v>
      </c>
      <c r="X272" s="58">
        <f t="shared" si="14"/>
        <v>46081.291666666664</v>
      </c>
    </row>
    <row r="273" spans="1:24" ht="21" customHeight="1" thickBot="1">
      <c r="A273" s="290">
        <v>28</v>
      </c>
      <c r="B273" s="172">
        <v>46081</v>
      </c>
      <c r="C273" s="331">
        <v>46081.416666666664</v>
      </c>
      <c r="D273" s="335">
        <v>46081.625</v>
      </c>
      <c r="E273" s="335">
        <v>46081.75</v>
      </c>
      <c r="F273" s="335">
        <v>46081.791666666664</v>
      </c>
      <c r="G273" s="326">
        <v>46081.958333333336</v>
      </c>
      <c r="H273" s="178" t="s">
        <v>498</v>
      </c>
      <c r="I273" s="175" t="s">
        <v>43</v>
      </c>
      <c r="J273" s="188" t="s">
        <v>3</v>
      </c>
      <c r="K273" s="473"/>
      <c r="L273" s="473"/>
      <c r="M273" s="193" t="s">
        <v>443</v>
      </c>
      <c r="N273" s="458">
        <v>0</v>
      </c>
      <c r="O273" s="470">
        <v>0</v>
      </c>
      <c r="P273" s="470">
        <v>0</v>
      </c>
      <c r="Q273" s="45">
        <v>0</v>
      </c>
      <c r="R273" s="46">
        <v>0</v>
      </c>
      <c r="S273" s="41">
        <v>45865.70045138889</v>
      </c>
      <c r="T273" s="42" t="s">
        <v>41</v>
      </c>
      <c r="U273" s="43" t="s">
        <v>445</v>
      </c>
      <c r="V273" s="34">
        <f t="shared" si="12"/>
        <v>46081.375</v>
      </c>
      <c r="W273" s="471">
        <f t="shared" si="13"/>
        <v>46081.333333333328</v>
      </c>
      <c r="X273" s="35">
        <f t="shared" si="14"/>
        <v>46081.291666666664</v>
      </c>
    </row>
    <row r="274" spans="1:24" ht="21" customHeight="1" thickBot="1">
      <c r="A274" s="290">
        <v>28</v>
      </c>
      <c r="B274" s="172">
        <v>46081</v>
      </c>
      <c r="C274" s="331">
        <v>46081.416666666664</v>
      </c>
      <c r="D274" s="335">
        <v>46081.625</v>
      </c>
      <c r="E274" s="335">
        <v>46081.75</v>
      </c>
      <c r="F274" s="335">
        <v>46081.791666666664</v>
      </c>
      <c r="G274" s="326">
        <v>46081.958333333336</v>
      </c>
      <c r="H274" s="178" t="s">
        <v>248</v>
      </c>
      <c r="I274" s="175" t="s">
        <v>217</v>
      </c>
      <c r="J274" s="188" t="s">
        <v>4</v>
      </c>
      <c r="K274" s="473"/>
      <c r="L274" s="473"/>
      <c r="M274" s="193" t="s">
        <v>188</v>
      </c>
      <c r="N274" s="458">
        <v>0</v>
      </c>
      <c r="O274" s="470">
        <v>0</v>
      </c>
      <c r="P274" s="470">
        <v>0</v>
      </c>
      <c r="Q274" s="45">
        <v>0</v>
      </c>
      <c r="R274" s="46">
        <v>0</v>
      </c>
      <c r="S274" s="41">
        <v>45865.70045138889</v>
      </c>
      <c r="T274" s="42" t="s">
        <v>41</v>
      </c>
      <c r="U274" s="43" t="s">
        <v>445</v>
      </c>
      <c r="V274" s="34">
        <f t="shared" si="12"/>
        <v>46081.375</v>
      </c>
      <c r="W274" s="471">
        <f t="shared" si="13"/>
        <v>46081.333333333328</v>
      </c>
      <c r="X274" s="35">
        <f t="shared" si="14"/>
        <v>46081.291666666664</v>
      </c>
    </row>
    <row r="275" spans="1:24" ht="21" customHeight="1" thickBot="1">
      <c r="A275" s="290">
        <v>28</v>
      </c>
      <c r="B275" s="172">
        <v>46081</v>
      </c>
      <c r="C275" s="331">
        <v>46081.416666666664</v>
      </c>
      <c r="D275" s="335">
        <v>46081.625</v>
      </c>
      <c r="E275" s="335">
        <v>46081.75</v>
      </c>
      <c r="F275" s="335">
        <v>46081.791666666664</v>
      </c>
      <c r="G275" s="326">
        <v>46081.958333333336</v>
      </c>
      <c r="H275" s="178" t="s">
        <v>499</v>
      </c>
      <c r="I275" s="175" t="s">
        <v>451</v>
      </c>
      <c r="J275" s="188" t="s">
        <v>5</v>
      </c>
      <c r="K275" s="473"/>
      <c r="L275" s="473"/>
      <c r="M275" s="193" t="s">
        <v>107</v>
      </c>
      <c r="N275" s="458">
        <v>0</v>
      </c>
      <c r="O275" s="470">
        <v>0</v>
      </c>
      <c r="P275" s="470">
        <v>0</v>
      </c>
      <c r="Q275" s="45">
        <v>0</v>
      </c>
      <c r="R275" s="46">
        <v>0</v>
      </c>
      <c r="S275" s="41">
        <v>45865.70045138889</v>
      </c>
      <c r="T275" s="42" t="s">
        <v>41</v>
      </c>
      <c r="U275" s="43" t="s">
        <v>445</v>
      </c>
      <c r="V275" s="34">
        <f t="shared" si="12"/>
        <v>46081.375</v>
      </c>
      <c r="W275" s="471">
        <f t="shared" si="13"/>
        <v>46081.333333333328</v>
      </c>
      <c r="X275" s="35">
        <f t="shared" si="14"/>
        <v>46081.291666666664</v>
      </c>
    </row>
    <row r="276" spans="1:24" ht="21" customHeight="1" thickBot="1">
      <c r="A276" s="290">
        <v>28</v>
      </c>
      <c r="B276" s="172">
        <v>46081</v>
      </c>
      <c r="C276" s="331">
        <v>46081.416666666664</v>
      </c>
      <c r="D276" s="335">
        <v>46081.625</v>
      </c>
      <c r="E276" s="335">
        <v>46081.75</v>
      </c>
      <c r="F276" s="335">
        <v>46081.791666666664</v>
      </c>
      <c r="G276" s="326">
        <v>46081.958333333336</v>
      </c>
      <c r="H276" s="178" t="s">
        <v>382</v>
      </c>
      <c r="I276" s="175" t="s">
        <v>157</v>
      </c>
      <c r="J276" s="188" t="s">
        <v>108</v>
      </c>
      <c r="K276" s="473"/>
      <c r="L276" s="473"/>
      <c r="M276" s="193" t="s">
        <v>13</v>
      </c>
      <c r="N276" s="458">
        <v>0</v>
      </c>
      <c r="O276" s="470">
        <v>0</v>
      </c>
      <c r="P276" s="470">
        <v>0</v>
      </c>
      <c r="Q276" s="45">
        <v>0</v>
      </c>
      <c r="R276" s="46">
        <v>0</v>
      </c>
      <c r="S276" s="41">
        <v>45865.70045138889</v>
      </c>
      <c r="T276" s="42" t="s">
        <v>41</v>
      </c>
      <c r="U276" s="43" t="s">
        <v>445</v>
      </c>
      <c r="V276" s="34">
        <f t="shared" si="12"/>
        <v>46081.375</v>
      </c>
      <c r="W276" s="471">
        <f t="shared" si="13"/>
        <v>46081.333333333328</v>
      </c>
      <c r="X276" s="35">
        <f t="shared" si="14"/>
        <v>46081.291666666664</v>
      </c>
    </row>
    <row r="277" spans="1:24" ht="21" customHeight="1" thickBot="1">
      <c r="A277" s="290">
        <v>28</v>
      </c>
      <c r="B277" s="172">
        <v>46081</v>
      </c>
      <c r="C277" s="331">
        <v>46081.416666666664</v>
      </c>
      <c r="D277" s="335">
        <v>46081.625</v>
      </c>
      <c r="E277" s="335">
        <v>46081.75</v>
      </c>
      <c r="F277" s="335">
        <v>46081.791666666664</v>
      </c>
      <c r="G277" s="326">
        <v>46081.958333333336</v>
      </c>
      <c r="H277" s="178" t="s">
        <v>540</v>
      </c>
      <c r="I277" s="175" t="s">
        <v>449</v>
      </c>
      <c r="J277" s="188" t="s">
        <v>444</v>
      </c>
      <c r="K277" s="473"/>
      <c r="L277" s="473"/>
      <c r="M277" s="193" t="s">
        <v>10</v>
      </c>
      <c r="N277" s="458">
        <v>0</v>
      </c>
      <c r="O277" s="470">
        <v>0</v>
      </c>
      <c r="P277" s="470">
        <v>0</v>
      </c>
      <c r="Q277" s="45">
        <v>0</v>
      </c>
      <c r="R277" s="46">
        <v>0</v>
      </c>
      <c r="S277" s="41">
        <v>45865.70045138889</v>
      </c>
      <c r="T277" s="42" t="s">
        <v>41</v>
      </c>
      <c r="U277" s="43" t="s">
        <v>445</v>
      </c>
      <c r="V277" s="34">
        <f t="shared" si="12"/>
        <v>46081.375</v>
      </c>
      <c r="W277" s="471">
        <f t="shared" si="13"/>
        <v>46081.333333333328</v>
      </c>
      <c r="X277" s="35">
        <f t="shared" si="14"/>
        <v>46081.291666666664</v>
      </c>
    </row>
    <row r="278" spans="1:24" ht="21" customHeight="1" thickBot="1">
      <c r="A278" s="290">
        <v>28</v>
      </c>
      <c r="B278" s="172">
        <v>46081</v>
      </c>
      <c r="C278" s="331">
        <v>46081.416666666664</v>
      </c>
      <c r="D278" s="335">
        <v>46081.625</v>
      </c>
      <c r="E278" s="335">
        <v>46081.75</v>
      </c>
      <c r="F278" s="335">
        <v>46081.791666666664</v>
      </c>
      <c r="G278" s="326">
        <v>46081.958333333336</v>
      </c>
      <c r="H278" s="178" t="s">
        <v>395</v>
      </c>
      <c r="I278" s="175" t="s">
        <v>40</v>
      </c>
      <c r="J278" s="188" t="s">
        <v>9</v>
      </c>
      <c r="K278" s="473"/>
      <c r="L278" s="473"/>
      <c r="M278" s="193" t="s">
        <v>14</v>
      </c>
      <c r="N278" s="458">
        <v>0</v>
      </c>
      <c r="O278" s="470">
        <v>0</v>
      </c>
      <c r="P278" s="470">
        <v>0</v>
      </c>
      <c r="Q278" s="45">
        <v>0</v>
      </c>
      <c r="R278" s="46">
        <v>0</v>
      </c>
      <c r="S278" s="41">
        <v>45865.70045138889</v>
      </c>
      <c r="T278" s="42" t="s">
        <v>41</v>
      </c>
      <c r="U278" s="43" t="s">
        <v>445</v>
      </c>
      <c r="V278" s="34">
        <f t="shared" si="12"/>
        <v>46081.375</v>
      </c>
      <c r="W278" s="471">
        <f t="shared" si="13"/>
        <v>46081.333333333328</v>
      </c>
      <c r="X278" s="35">
        <f t="shared" si="14"/>
        <v>46081.291666666664</v>
      </c>
    </row>
    <row r="279" spans="1:24" ht="21" customHeight="1" thickBot="1">
      <c r="A279" s="290">
        <v>28</v>
      </c>
      <c r="B279" s="172">
        <v>46081</v>
      </c>
      <c r="C279" s="331">
        <v>46081.416666666664</v>
      </c>
      <c r="D279" s="335">
        <v>46081.625</v>
      </c>
      <c r="E279" s="335">
        <v>46081.75</v>
      </c>
      <c r="F279" s="335">
        <v>46081.791666666664</v>
      </c>
      <c r="G279" s="326">
        <v>46081.958333333336</v>
      </c>
      <c r="H279" s="178" t="s">
        <v>354</v>
      </c>
      <c r="I279" s="175" t="s">
        <v>47</v>
      </c>
      <c r="J279" s="188" t="s">
        <v>11</v>
      </c>
      <c r="K279" s="473"/>
      <c r="L279" s="473"/>
      <c r="M279" s="193" t="s">
        <v>7</v>
      </c>
      <c r="N279" s="458">
        <v>0</v>
      </c>
      <c r="O279" s="470">
        <v>0</v>
      </c>
      <c r="P279" s="470">
        <v>0</v>
      </c>
      <c r="Q279" s="45">
        <v>0</v>
      </c>
      <c r="R279" s="46">
        <v>0</v>
      </c>
      <c r="S279" s="41">
        <v>45865.70045138889</v>
      </c>
      <c r="T279" s="42" t="s">
        <v>41</v>
      </c>
      <c r="U279" s="43" t="s">
        <v>445</v>
      </c>
      <c r="V279" s="34">
        <f t="shared" si="12"/>
        <v>46081.375</v>
      </c>
      <c r="W279" s="471">
        <f t="shared" si="13"/>
        <v>46081.333333333328</v>
      </c>
      <c r="X279" s="35">
        <f t="shared" si="14"/>
        <v>46081.291666666664</v>
      </c>
    </row>
    <row r="280" spans="1:24" ht="21" customHeight="1" thickBot="1">
      <c r="A280" s="290">
        <v>28</v>
      </c>
      <c r="B280" s="172">
        <v>46081</v>
      </c>
      <c r="C280" s="331">
        <v>46081.416666666664</v>
      </c>
      <c r="D280" s="335">
        <v>46081.625</v>
      </c>
      <c r="E280" s="335">
        <v>46081.75</v>
      </c>
      <c r="F280" s="335">
        <v>46081.791666666664</v>
      </c>
      <c r="G280" s="326">
        <v>46081.958333333336</v>
      </c>
      <c r="H280" s="178" t="s">
        <v>431</v>
      </c>
      <c r="I280" s="175" t="s">
        <v>46</v>
      </c>
      <c r="J280" s="188" t="s">
        <v>12</v>
      </c>
      <c r="K280" s="473"/>
      <c r="L280" s="473"/>
      <c r="M280" s="193" t="s">
        <v>8</v>
      </c>
      <c r="N280" s="458">
        <v>0</v>
      </c>
      <c r="O280" s="470">
        <v>0</v>
      </c>
      <c r="P280" s="470">
        <v>0</v>
      </c>
      <c r="Q280" s="45">
        <v>0</v>
      </c>
      <c r="R280" s="46">
        <v>0</v>
      </c>
      <c r="S280" s="41">
        <v>45865.70045138889</v>
      </c>
      <c r="T280" s="42" t="s">
        <v>41</v>
      </c>
      <c r="U280" s="43" t="s">
        <v>445</v>
      </c>
      <c r="V280" s="34">
        <f t="shared" si="12"/>
        <v>46081.375</v>
      </c>
      <c r="W280" s="471">
        <f t="shared" si="13"/>
        <v>46081.333333333328</v>
      </c>
      <c r="X280" s="35">
        <f t="shared" si="14"/>
        <v>46081.291666666664</v>
      </c>
    </row>
    <row r="281" spans="1:24" ht="21" customHeight="1" thickBot="1">
      <c r="A281" s="290">
        <v>28</v>
      </c>
      <c r="B281" s="172">
        <v>46081</v>
      </c>
      <c r="C281" s="331">
        <v>46081.416666666664</v>
      </c>
      <c r="D281" s="335">
        <v>46081.625</v>
      </c>
      <c r="E281" s="335">
        <v>46081.75</v>
      </c>
      <c r="F281" s="335">
        <v>46081.791666666664</v>
      </c>
      <c r="G281" s="326">
        <v>46081.958333333336</v>
      </c>
      <c r="H281" s="178" t="s">
        <v>357</v>
      </c>
      <c r="I281" s="175" t="s">
        <v>52</v>
      </c>
      <c r="J281" s="188" t="s">
        <v>15</v>
      </c>
      <c r="K281" s="473"/>
      <c r="L281" s="473"/>
      <c r="M281" s="193" t="s">
        <v>2</v>
      </c>
      <c r="N281" s="458">
        <v>0</v>
      </c>
      <c r="O281" s="470">
        <v>0</v>
      </c>
      <c r="P281" s="470">
        <v>0</v>
      </c>
      <c r="Q281" s="45">
        <v>0</v>
      </c>
      <c r="R281" s="46">
        <v>0</v>
      </c>
      <c r="S281" s="41">
        <v>45865.70045138889</v>
      </c>
      <c r="T281" s="42" t="s">
        <v>41</v>
      </c>
      <c r="U281" s="43" t="s">
        <v>445</v>
      </c>
      <c r="V281" s="34">
        <f t="shared" si="12"/>
        <v>46081.375</v>
      </c>
      <c r="W281" s="471">
        <f t="shared" si="13"/>
        <v>46081.333333333328</v>
      </c>
      <c r="X281" s="35">
        <f t="shared" si="14"/>
        <v>46081.291666666664</v>
      </c>
    </row>
    <row r="282" spans="1:24" ht="21" customHeight="1" thickBot="1">
      <c r="A282" s="289">
        <v>29</v>
      </c>
      <c r="B282" s="171">
        <v>46085</v>
      </c>
      <c r="C282" s="330">
        <v>46085.625</v>
      </c>
      <c r="D282" s="334">
        <v>46085.833333333336</v>
      </c>
      <c r="E282" s="334">
        <v>46085.958333333336</v>
      </c>
      <c r="F282" s="334">
        <v>46086</v>
      </c>
      <c r="G282" s="325">
        <v>46086.166666666664</v>
      </c>
      <c r="H282" s="177" t="s">
        <v>132</v>
      </c>
      <c r="I282" s="174" t="s">
        <v>49</v>
      </c>
      <c r="J282" s="187" t="s">
        <v>2</v>
      </c>
      <c r="K282" s="473"/>
      <c r="L282" s="473"/>
      <c r="M282" s="192" t="s">
        <v>6</v>
      </c>
      <c r="N282" s="456">
        <v>0</v>
      </c>
      <c r="O282" s="457">
        <v>0</v>
      </c>
      <c r="P282" s="457">
        <v>0</v>
      </c>
      <c r="Q282" s="39">
        <v>0</v>
      </c>
      <c r="R282" s="40">
        <v>0</v>
      </c>
      <c r="S282" s="36">
        <v>45865.70045138889</v>
      </c>
      <c r="T282" s="37" t="s">
        <v>41</v>
      </c>
      <c r="U282" s="38" t="s">
        <v>445</v>
      </c>
      <c r="V282" s="56">
        <f t="shared" si="12"/>
        <v>46085.583333333336</v>
      </c>
      <c r="W282" s="57">
        <f t="shared" si="13"/>
        <v>46085.541666666664</v>
      </c>
      <c r="X282" s="58">
        <f t="shared" si="14"/>
        <v>46085.5</v>
      </c>
    </row>
    <row r="283" spans="1:24" ht="21" customHeight="1" thickBot="1">
      <c r="A283" s="290">
        <v>29</v>
      </c>
      <c r="B283" s="172">
        <v>46085</v>
      </c>
      <c r="C283" s="331">
        <v>46085.625</v>
      </c>
      <c r="D283" s="335">
        <v>46085.833333333336</v>
      </c>
      <c r="E283" s="335">
        <v>46085.958333333336</v>
      </c>
      <c r="F283" s="335">
        <v>46086</v>
      </c>
      <c r="G283" s="326">
        <v>46086.166666666664</v>
      </c>
      <c r="H283" s="178" t="s">
        <v>380</v>
      </c>
      <c r="I283" s="175" t="s">
        <v>43</v>
      </c>
      <c r="J283" s="188" t="s">
        <v>3</v>
      </c>
      <c r="K283" s="473"/>
      <c r="L283" s="473"/>
      <c r="M283" s="193" t="s">
        <v>107</v>
      </c>
      <c r="N283" s="458">
        <v>0</v>
      </c>
      <c r="O283" s="470">
        <v>0</v>
      </c>
      <c r="P283" s="470">
        <v>0</v>
      </c>
      <c r="Q283" s="45">
        <v>0</v>
      </c>
      <c r="R283" s="46">
        <v>0</v>
      </c>
      <c r="S283" s="41">
        <v>45865.70045138889</v>
      </c>
      <c r="T283" s="42" t="s">
        <v>41</v>
      </c>
      <c r="U283" s="43" t="s">
        <v>445</v>
      </c>
      <c r="V283" s="34">
        <f t="shared" si="12"/>
        <v>46085.583333333336</v>
      </c>
      <c r="W283" s="471">
        <f t="shared" si="13"/>
        <v>46085.541666666664</v>
      </c>
      <c r="X283" s="35">
        <f t="shared" si="14"/>
        <v>46085.5</v>
      </c>
    </row>
    <row r="284" spans="1:24" ht="21" customHeight="1" thickBot="1">
      <c r="A284" s="290">
        <v>29</v>
      </c>
      <c r="B284" s="172">
        <v>46085</v>
      </c>
      <c r="C284" s="331">
        <v>46085.625</v>
      </c>
      <c r="D284" s="335">
        <v>46085.833333333336</v>
      </c>
      <c r="E284" s="335">
        <v>46085.958333333336</v>
      </c>
      <c r="F284" s="335">
        <v>46086</v>
      </c>
      <c r="G284" s="326">
        <v>46086.166666666664</v>
      </c>
      <c r="H284" s="178" t="s">
        <v>330</v>
      </c>
      <c r="I284" s="175" t="s">
        <v>217</v>
      </c>
      <c r="J284" s="188" t="s">
        <v>4</v>
      </c>
      <c r="K284" s="473"/>
      <c r="L284" s="473"/>
      <c r="M284" s="193" t="s">
        <v>1</v>
      </c>
      <c r="N284" s="458">
        <v>0</v>
      </c>
      <c r="O284" s="470">
        <v>0</v>
      </c>
      <c r="P284" s="470">
        <v>0</v>
      </c>
      <c r="Q284" s="45">
        <v>0</v>
      </c>
      <c r="R284" s="46">
        <v>0</v>
      </c>
      <c r="S284" s="41">
        <v>45865.70045138889</v>
      </c>
      <c r="T284" s="42" t="s">
        <v>41</v>
      </c>
      <c r="U284" s="43" t="s">
        <v>445</v>
      </c>
      <c r="V284" s="34">
        <f t="shared" si="12"/>
        <v>46085.583333333336</v>
      </c>
      <c r="W284" s="471">
        <f t="shared" si="13"/>
        <v>46085.541666666664</v>
      </c>
      <c r="X284" s="35">
        <f t="shared" si="14"/>
        <v>46085.5</v>
      </c>
    </row>
    <row r="285" spans="1:24" ht="21" customHeight="1" thickBot="1">
      <c r="A285" s="290">
        <v>29</v>
      </c>
      <c r="B285" s="172">
        <v>46085</v>
      </c>
      <c r="C285" s="331">
        <v>46085.625</v>
      </c>
      <c r="D285" s="335">
        <v>46085.833333333336</v>
      </c>
      <c r="E285" s="335">
        <v>46085.958333333336</v>
      </c>
      <c r="F285" s="335">
        <v>46086</v>
      </c>
      <c r="G285" s="326">
        <v>46086.166666666664</v>
      </c>
      <c r="H285" s="178" t="s">
        <v>500</v>
      </c>
      <c r="I285" s="175" t="s">
        <v>452</v>
      </c>
      <c r="J285" s="188" t="s">
        <v>8</v>
      </c>
      <c r="K285" s="473"/>
      <c r="L285" s="473"/>
      <c r="M285" s="193" t="s">
        <v>5</v>
      </c>
      <c r="N285" s="458">
        <v>0</v>
      </c>
      <c r="O285" s="470">
        <v>0</v>
      </c>
      <c r="P285" s="470">
        <v>0</v>
      </c>
      <c r="Q285" s="45">
        <v>0</v>
      </c>
      <c r="R285" s="46">
        <v>0</v>
      </c>
      <c r="S285" s="41">
        <v>45865.70045138889</v>
      </c>
      <c r="T285" s="42" t="s">
        <v>41</v>
      </c>
      <c r="U285" s="43" t="s">
        <v>445</v>
      </c>
      <c r="V285" s="34">
        <f t="shared" si="12"/>
        <v>46085.583333333336</v>
      </c>
      <c r="W285" s="471">
        <f t="shared" si="13"/>
        <v>46085.541666666664</v>
      </c>
      <c r="X285" s="35">
        <f t="shared" si="14"/>
        <v>46085.5</v>
      </c>
    </row>
    <row r="286" spans="1:24" ht="21" customHeight="1" thickBot="1">
      <c r="A286" s="290">
        <v>29</v>
      </c>
      <c r="B286" s="172">
        <v>46085</v>
      </c>
      <c r="C286" s="331">
        <v>46085.625</v>
      </c>
      <c r="D286" s="335">
        <v>46085.833333333336</v>
      </c>
      <c r="E286" s="335">
        <v>46085.958333333336</v>
      </c>
      <c r="F286" s="335">
        <v>46086</v>
      </c>
      <c r="G286" s="326">
        <v>46086.166666666664</v>
      </c>
      <c r="H286" s="178" t="s">
        <v>236</v>
      </c>
      <c r="I286" s="175" t="s">
        <v>157</v>
      </c>
      <c r="J286" s="188" t="s">
        <v>108</v>
      </c>
      <c r="K286" s="473"/>
      <c r="L286" s="473"/>
      <c r="M286" s="193" t="s">
        <v>14</v>
      </c>
      <c r="N286" s="458">
        <v>0</v>
      </c>
      <c r="O286" s="470">
        <v>0</v>
      </c>
      <c r="P286" s="470">
        <v>0</v>
      </c>
      <c r="Q286" s="45">
        <v>0</v>
      </c>
      <c r="R286" s="46">
        <v>0</v>
      </c>
      <c r="S286" s="41">
        <v>45865.70045138889</v>
      </c>
      <c r="T286" s="42" t="s">
        <v>41</v>
      </c>
      <c r="U286" s="43" t="s">
        <v>445</v>
      </c>
      <c r="V286" s="34">
        <f t="shared" si="12"/>
        <v>46085.583333333336</v>
      </c>
      <c r="W286" s="471">
        <f t="shared" si="13"/>
        <v>46085.541666666664</v>
      </c>
      <c r="X286" s="35">
        <f t="shared" si="14"/>
        <v>46085.5</v>
      </c>
    </row>
    <row r="287" spans="1:24" ht="21" customHeight="1" thickBot="1">
      <c r="A287" s="290">
        <v>29</v>
      </c>
      <c r="B287" s="172">
        <v>46085</v>
      </c>
      <c r="C287" s="331">
        <v>46085.625</v>
      </c>
      <c r="D287" s="335">
        <v>46085.833333333336</v>
      </c>
      <c r="E287" s="335">
        <v>46085.958333333336</v>
      </c>
      <c r="F287" s="335">
        <v>46086</v>
      </c>
      <c r="G287" s="326">
        <v>46086.166666666664</v>
      </c>
      <c r="H287" s="178" t="s">
        <v>541</v>
      </c>
      <c r="I287" s="175" t="s">
        <v>449</v>
      </c>
      <c r="J287" s="188" t="s">
        <v>444</v>
      </c>
      <c r="K287" s="473"/>
      <c r="L287" s="473"/>
      <c r="M287" s="193" t="s">
        <v>443</v>
      </c>
      <c r="N287" s="458">
        <v>0</v>
      </c>
      <c r="O287" s="470">
        <v>0</v>
      </c>
      <c r="P287" s="470">
        <v>0</v>
      </c>
      <c r="Q287" s="45">
        <v>0</v>
      </c>
      <c r="R287" s="46">
        <v>0</v>
      </c>
      <c r="S287" s="41">
        <v>45865.70045138889</v>
      </c>
      <c r="T287" s="42" t="s">
        <v>41</v>
      </c>
      <c r="U287" s="43" t="s">
        <v>445</v>
      </c>
      <c r="V287" s="34">
        <f t="shared" si="12"/>
        <v>46085.583333333336</v>
      </c>
      <c r="W287" s="471">
        <f t="shared" si="13"/>
        <v>46085.541666666664</v>
      </c>
      <c r="X287" s="35">
        <f t="shared" si="14"/>
        <v>46085.5</v>
      </c>
    </row>
    <row r="288" spans="1:24" ht="21" customHeight="1" thickBot="1">
      <c r="A288" s="290">
        <v>29</v>
      </c>
      <c r="B288" s="172">
        <v>46085</v>
      </c>
      <c r="C288" s="331">
        <v>46085.625</v>
      </c>
      <c r="D288" s="335">
        <v>46085.833333333336</v>
      </c>
      <c r="E288" s="335">
        <v>46085.958333333336</v>
      </c>
      <c r="F288" s="335">
        <v>46086</v>
      </c>
      <c r="G288" s="326">
        <v>46086.166666666664</v>
      </c>
      <c r="H288" s="178" t="s">
        <v>296</v>
      </c>
      <c r="I288" s="175" t="s">
        <v>50</v>
      </c>
      <c r="J288" s="188" t="s">
        <v>10</v>
      </c>
      <c r="K288" s="473"/>
      <c r="L288" s="473"/>
      <c r="M288" s="193" t="s">
        <v>188</v>
      </c>
      <c r="N288" s="458">
        <v>0</v>
      </c>
      <c r="O288" s="470">
        <v>0</v>
      </c>
      <c r="P288" s="470">
        <v>0</v>
      </c>
      <c r="Q288" s="45">
        <v>0</v>
      </c>
      <c r="R288" s="46">
        <v>0</v>
      </c>
      <c r="S288" s="41">
        <v>45865.70045138889</v>
      </c>
      <c r="T288" s="42" t="s">
        <v>41</v>
      </c>
      <c r="U288" s="43" t="s">
        <v>445</v>
      </c>
      <c r="V288" s="34">
        <f t="shared" si="12"/>
        <v>46085.583333333336</v>
      </c>
      <c r="W288" s="471">
        <f t="shared" si="13"/>
        <v>46085.541666666664</v>
      </c>
      <c r="X288" s="35">
        <f t="shared" si="14"/>
        <v>46085.5</v>
      </c>
    </row>
    <row r="289" spans="1:24" ht="21" customHeight="1" thickBot="1">
      <c r="A289" s="290">
        <v>29</v>
      </c>
      <c r="B289" s="172">
        <v>46085</v>
      </c>
      <c r="C289" s="331">
        <v>46085.625</v>
      </c>
      <c r="D289" s="335">
        <v>46085.833333333336</v>
      </c>
      <c r="E289" s="335">
        <v>46085.958333333336</v>
      </c>
      <c r="F289" s="335">
        <v>46086</v>
      </c>
      <c r="G289" s="326">
        <v>46086.166666666664</v>
      </c>
      <c r="H289" s="178" t="s">
        <v>397</v>
      </c>
      <c r="I289" s="175" t="s">
        <v>46</v>
      </c>
      <c r="J289" s="188" t="s">
        <v>12</v>
      </c>
      <c r="K289" s="473"/>
      <c r="L289" s="473"/>
      <c r="M289" s="193" t="s">
        <v>11</v>
      </c>
      <c r="N289" s="458">
        <v>0</v>
      </c>
      <c r="O289" s="470">
        <v>0</v>
      </c>
      <c r="P289" s="470">
        <v>0</v>
      </c>
      <c r="Q289" s="45">
        <v>0</v>
      </c>
      <c r="R289" s="46">
        <v>0</v>
      </c>
      <c r="S289" s="41">
        <v>45865.70045138889</v>
      </c>
      <c r="T289" s="42" t="s">
        <v>41</v>
      </c>
      <c r="U289" s="43" t="s">
        <v>445</v>
      </c>
      <c r="V289" s="34">
        <f t="shared" si="12"/>
        <v>46085.583333333336</v>
      </c>
      <c r="W289" s="471">
        <f t="shared" si="13"/>
        <v>46085.541666666664</v>
      </c>
      <c r="X289" s="35">
        <f t="shared" si="14"/>
        <v>46085.5</v>
      </c>
    </row>
    <row r="290" spans="1:24" ht="21" customHeight="1" thickBot="1">
      <c r="A290" s="290">
        <v>29</v>
      </c>
      <c r="B290" s="172">
        <v>46085</v>
      </c>
      <c r="C290" s="331">
        <v>46085.625</v>
      </c>
      <c r="D290" s="335">
        <v>46085.833333333336</v>
      </c>
      <c r="E290" s="335">
        <v>46085.958333333336</v>
      </c>
      <c r="F290" s="335">
        <v>46086</v>
      </c>
      <c r="G290" s="326">
        <v>46086.166666666664</v>
      </c>
      <c r="H290" s="178" t="s">
        <v>420</v>
      </c>
      <c r="I290" s="175" t="s">
        <v>45</v>
      </c>
      <c r="J290" s="188" t="s">
        <v>13</v>
      </c>
      <c r="K290" s="473"/>
      <c r="L290" s="473"/>
      <c r="M290" s="193" t="s">
        <v>7</v>
      </c>
      <c r="N290" s="458">
        <v>0</v>
      </c>
      <c r="O290" s="470">
        <v>0</v>
      </c>
      <c r="P290" s="470">
        <v>0</v>
      </c>
      <c r="Q290" s="45">
        <v>0</v>
      </c>
      <c r="R290" s="46">
        <v>0</v>
      </c>
      <c r="S290" s="41">
        <v>45865.70045138889</v>
      </c>
      <c r="T290" s="42" t="s">
        <v>41</v>
      </c>
      <c r="U290" s="43" t="s">
        <v>445</v>
      </c>
      <c r="V290" s="34">
        <f t="shared" si="12"/>
        <v>46085.583333333336</v>
      </c>
      <c r="W290" s="471">
        <f t="shared" si="13"/>
        <v>46085.541666666664</v>
      </c>
      <c r="X290" s="35">
        <f t="shared" si="14"/>
        <v>46085.5</v>
      </c>
    </row>
    <row r="291" spans="1:24" ht="21" customHeight="1" thickBot="1">
      <c r="A291" s="290">
        <v>29</v>
      </c>
      <c r="B291" s="172">
        <v>46085</v>
      </c>
      <c r="C291" s="331">
        <v>46085.625</v>
      </c>
      <c r="D291" s="335">
        <v>46085.833333333336</v>
      </c>
      <c r="E291" s="335">
        <v>46085.958333333336</v>
      </c>
      <c r="F291" s="335">
        <v>46086</v>
      </c>
      <c r="G291" s="326">
        <v>46086.166666666664</v>
      </c>
      <c r="H291" s="178" t="s">
        <v>254</v>
      </c>
      <c r="I291" s="175" t="s">
        <v>52</v>
      </c>
      <c r="J291" s="188" t="s">
        <v>15</v>
      </c>
      <c r="K291" s="473"/>
      <c r="L291" s="473"/>
      <c r="M291" s="193" t="s">
        <v>9</v>
      </c>
      <c r="N291" s="458">
        <v>0</v>
      </c>
      <c r="O291" s="470">
        <v>0</v>
      </c>
      <c r="P291" s="470">
        <v>0</v>
      </c>
      <c r="Q291" s="45">
        <v>0</v>
      </c>
      <c r="R291" s="46">
        <v>0</v>
      </c>
      <c r="S291" s="41">
        <v>45865.70045138889</v>
      </c>
      <c r="T291" s="42" t="s">
        <v>41</v>
      </c>
      <c r="U291" s="43" t="s">
        <v>445</v>
      </c>
      <c r="V291" s="34">
        <f t="shared" si="12"/>
        <v>46085.583333333336</v>
      </c>
      <c r="W291" s="471">
        <f t="shared" si="13"/>
        <v>46085.541666666664</v>
      </c>
      <c r="X291" s="35">
        <f t="shared" si="14"/>
        <v>46085.5</v>
      </c>
    </row>
    <row r="292" spans="1:24" ht="21" customHeight="1" thickBot="1">
      <c r="A292" s="289">
        <v>30</v>
      </c>
      <c r="B292" s="171">
        <v>46095</v>
      </c>
      <c r="C292" s="330">
        <v>46095.458333333336</v>
      </c>
      <c r="D292" s="334">
        <v>46095.625</v>
      </c>
      <c r="E292" s="334">
        <v>46095.75</v>
      </c>
      <c r="F292" s="334">
        <v>46095.791666666664</v>
      </c>
      <c r="G292" s="325">
        <v>46095.958333333336</v>
      </c>
      <c r="H292" s="177" t="s">
        <v>152</v>
      </c>
      <c r="I292" s="174" t="s">
        <v>48</v>
      </c>
      <c r="J292" s="187" t="s">
        <v>1</v>
      </c>
      <c r="K292" s="473"/>
      <c r="L292" s="473"/>
      <c r="M292" s="192" t="s">
        <v>8</v>
      </c>
      <c r="N292" s="456">
        <v>0</v>
      </c>
      <c r="O292" s="457">
        <v>0</v>
      </c>
      <c r="P292" s="457">
        <v>0</v>
      </c>
      <c r="Q292" s="39">
        <v>0</v>
      </c>
      <c r="R292" s="40">
        <v>0</v>
      </c>
      <c r="S292" s="36">
        <v>45865.70045138889</v>
      </c>
      <c r="T292" s="37" t="s">
        <v>41</v>
      </c>
      <c r="U292" s="38" t="s">
        <v>445</v>
      </c>
      <c r="V292" s="56">
        <f t="shared" si="12"/>
        <v>46095.416666666672</v>
      </c>
      <c r="W292" s="57">
        <f t="shared" si="13"/>
        <v>46095.375</v>
      </c>
      <c r="X292" s="58">
        <f t="shared" si="14"/>
        <v>46095.333333333336</v>
      </c>
    </row>
    <row r="293" spans="1:24" ht="21" customHeight="1" thickBot="1">
      <c r="A293" s="290">
        <v>30</v>
      </c>
      <c r="B293" s="172">
        <v>46095</v>
      </c>
      <c r="C293" s="331">
        <v>46095.458333333336</v>
      </c>
      <c r="D293" s="335">
        <v>46095.625</v>
      </c>
      <c r="E293" s="335">
        <v>46095.75</v>
      </c>
      <c r="F293" s="335">
        <v>46095.791666666664</v>
      </c>
      <c r="G293" s="326">
        <v>46095.958333333336</v>
      </c>
      <c r="H293" s="178" t="s">
        <v>256</v>
      </c>
      <c r="I293" s="175" t="s">
        <v>172</v>
      </c>
      <c r="J293" s="188" t="s">
        <v>107</v>
      </c>
      <c r="K293" s="473"/>
      <c r="L293" s="473"/>
      <c r="M293" s="193" t="s">
        <v>15</v>
      </c>
      <c r="N293" s="458">
        <v>0</v>
      </c>
      <c r="O293" s="470">
        <v>0</v>
      </c>
      <c r="P293" s="470">
        <v>0</v>
      </c>
      <c r="Q293" s="45">
        <v>0</v>
      </c>
      <c r="R293" s="46">
        <v>0</v>
      </c>
      <c r="S293" s="41">
        <v>45865.70045138889</v>
      </c>
      <c r="T293" s="42" t="s">
        <v>41</v>
      </c>
      <c r="U293" s="43" t="s">
        <v>445</v>
      </c>
      <c r="V293" s="34">
        <f t="shared" si="12"/>
        <v>46095.416666666672</v>
      </c>
      <c r="W293" s="471">
        <f t="shared" si="13"/>
        <v>46095.375</v>
      </c>
      <c r="X293" s="35">
        <f t="shared" si="14"/>
        <v>46095.333333333336</v>
      </c>
    </row>
    <row r="294" spans="1:24" ht="21" customHeight="1" thickBot="1">
      <c r="A294" s="290">
        <v>30</v>
      </c>
      <c r="B294" s="172">
        <v>46095</v>
      </c>
      <c r="C294" s="331">
        <v>46095.458333333336</v>
      </c>
      <c r="D294" s="335">
        <v>46095.625</v>
      </c>
      <c r="E294" s="335">
        <v>46095.75</v>
      </c>
      <c r="F294" s="335">
        <v>46095.791666666664</v>
      </c>
      <c r="G294" s="326">
        <v>46095.958333333336</v>
      </c>
      <c r="H294" s="178" t="s">
        <v>501</v>
      </c>
      <c r="I294" s="175" t="s">
        <v>451</v>
      </c>
      <c r="J294" s="188" t="s">
        <v>5</v>
      </c>
      <c r="K294" s="473"/>
      <c r="L294" s="473"/>
      <c r="M294" s="193" t="s">
        <v>3</v>
      </c>
      <c r="N294" s="458">
        <v>0</v>
      </c>
      <c r="O294" s="470">
        <v>0</v>
      </c>
      <c r="P294" s="470">
        <v>0</v>
      </c>
      <c r="Q294" s="45">
        <v>0</v>
      </c>
      <c r="R294" s="46">
        <v>0</v>
      </c>
      <c r="S294" s="41">
        <v>45865.70045138889</v>
      </c>
      <c r="T294" s="42" t="s">
        <v>41</v>
      </c>
      <c r="U294" s="43" t="s">
        <v>445</v>
      </c>
      <c r="V294" s="34">
        <f t="shared" si="12"/>
        <v>46095.416666666672</v>
      </c>
      <c r="W294" s="471">
        <f t="shared" si="13"/>
        <v>46095.375</v>
      </c>
      <c r="X294" s="35">
        <f t="shared" si="14"/>
        <v>46095.333333333336</v>
      </c>
    </row>
    <row r="295" spans="1:24" ht="21" customHeight="1" thickBot="1">
      <c r="A295" s="290">
        <v>30</v>
      </c>
      <c r="B295" s="172">
        <v>46095</v>
      </c>
      <c r="C295" s="331">
        <v>46095.458333333336</v>
      </c>
      <c r="D295" s="335">
        <v>46095.625</v>
      </c>
      <c r="E295" s="335">
        <v>46095.75</v>
      </c>
      <c r="F295" s="335">
        <v>46095.791666666664</v>
      </c>
      <c r="G295" s="326">
        <v>46095.958333333336</v>
      </c>
      <c r="H295" s="178" t="s">
        <v>270</v>
      </c>
      <c r="I295" s="175" t="s">
        <v>51</v>
      </c>
      <c r="J295" s="188" t="s">
        <v>6</v>
      </c>
      <c r="K295" s="473"/>
      <c r="L295" s="473"/>
      <c r="M295" s="193" t="s">
        <v>12</v>
      </c>
      <c r="N295" s="458">
        <v>0</v>
      </c>
      <c r="O295" s="470">
        <v>0</v>
      </c>
      <c r="P295" s="470">
        <v>0</v>
      </c>
      <c r="Q295" s="45">
        <v>0</v>
      </c>
      <c r="R295" s="46">
        <v>0</v>
      </c>
      <c r="S295" s="41">
        <v>45865.70045138889</v>
      </c>
      <c r="T295" s="42" t="s">
        <v>41</v>
      </c>
      <c r="U295" s="43" t="s">
        <v>445</v>
      </c>
      <c r="V295" s="34">
        <f t="shared" si="12"/>
        <v>46095.416666666672</v>
      </c>
      <c r="W295" s="471">
        <f t="shared" si="13"/>
        <v>46095.375</v>
      </c>
      <c r="X295" s="35">
        <f t="shared" si="14"/>
        <v>46095.333333333336</v>
      </c>
    </row>
    <row r="296" spans="1:24" ht="21" customHeight="1" thickBot="1">
      <c r="A296" s="290">
        <v>30</v>
      </c>
      <c r="B296" s="172">
        <v>46095</v>
      </c>
      <c r="C296" s="331">
        <v>46095.458333333336</v>
      </c>
      <c r="D296" s="335">
        <v>46095.625</v>
      </c>
      <c r="E296" s="335">
        <v>46095.75</v>
      </c>
      <c r="F296" s="335">
        <v>46095.791666666664</v>
      </c>
      <c r="G296" s="326">
        <v>46095.958333333336</v>
      </c>
      <c r="H296" s="178" t="s">
        <v>542</v>
      </c>
      <c r="I296" s="175" t="s">
        <v>44</v>
      </c>
      <c r="J296" s="188" t="s">
        <v>7</v>
      </c>
      <c r="K296" s="473"/>
      <c r="L296" s="473"/>
      <c r="M296" s="193" t="s">
        <v>444</v>
      </c>
      <c r="N296" s="458">
        <v>0</v>
      </c>
      <c r="O296" s="470">
        <v>0</v>
      </c>
      <c r="P296" s="470">
        <v>0</v>
      </c>
      <c r="Q296" s="45">
        <v>0</v>
      </c>
      <c r="R296" s="46">
        <v>0</v>
      </c>
      <c r="S296" s="41">
        <v>45865.70045138889</v>
      </c>
      <c r="T296" s="42" t="s">
        <v>41</v>
      </c>
      <c r="U296" s="43" t="s">
        <v>445</v>
      </c>
      <c r="V296" s="34">
        <f t="shared" si="12"/>
        <v>46095.416666666672</v>
      </c>
      <c r="W296" s="471">
        <f t="shared" si="13"/>
        <v>46095.375</v>
      </c>
      <c r="X296" s="35">
        <f t="shared" si="14"/>
        <v>46095.333333333336</v>
      </c>
    </row>
    <row r="297" spans="1:24" ht="21" customHeight="1" thickBot="1">
      <c r="A297" s="290">
        <v>30</v>
      </c>
      <c r="B297" s="172">
        <v>46095</v>
      </c>
      <c r="C297" s="331">
        <v>46095.458333333336</v>
      </c>
      <c r="D297" s="335">
        <v>46095.625</v>
      </c>
      <c r="E297" s="335">
        <v>46095.75</v>
      </c>
      <c r="F297" s="335">
        <v>46095.791666666664</v>
      </c>
      <c r="G297" s="326">
        <v>46095.958333333336</v>
      </c>
      <c r="H297" s="178" t="s">
        <v>408</v>
      </c>
      <c r="I297" s="175" t="s">
        <v>40</v>
      </c>
      <c r="J297" s="188" t="s">
        <v>9</v>
      </c>
      <c r="K297" s="473"/>
      <c r="L297" s="473"/>
      <c r="M297" s="193" t="s">
        <v>13</v>
      </c>
      <c r="N297" s="458">
        <v>0</v>
      </c>
      <c r="O297" s="470">
        <v>0</v>
      </c>
      <c r="P297" s="470">
        <v>0</v>
      </c>
      <c r="Q297" s="45">
        <v>0</v>
      </c>
      <c r="R297" s="46">
        <v>0</v>
      </c>
      <c r="S297" s="41">
        <v>45865.70045138889</v>
      </c>
      <c r="T297" s="42" t="s">
        <v>41</v>
      </c>
      <c r="U297" s="43" t="s">
        <v>445</v>
      </c>
      <c r="V297" s="34">
        <f t="shared" si="12"/>
        <v>46095.416666666672</v>
      </c>
      <c r="W297" s="471">
        <f t="shared" si="13"/>
        <v>46095.375</v>
      </c>
      <c r="X297" s="35">
        <f t="shared" si="14"/>
        <v>46095.333333333336</v>
      </c>
    </row>
    <row r="298" spans="1:24" ht="21" customHeight="1" thickBot="1">
      <c r="A298" s="290">
        <v>30</v>
      </c>
      <c r="B298" s="172">
        <v>46095</v>
      </c>
      <c r="C298" s="331">
        <v>46095.458333333336</v>
      </c>
      <c r="D298" s="335">
        <v>46095.625</v>
      </c>
      <c r="E298" s="335">
        <v>46095.75</v>
      </c>
      <c r="F298" s="335">
        <v>46095.791666666664</v>
      </c>
      <c r="G298" s="326">
        <v>46095.958333333336</v>
      </c>
      <c r="H298" s="178" t="s">
        <v>430</v>
      </c>
      <c r="I298" s="175" t="s">
        <v>47</v>
      </c>
      <c r="J298" s="188" t="s">
        <v>11</v>
      </c>
      <c r="K298" s="473"/>
      <c r="L298" s="473"/>
      <c r="M298" s="193" t="s">
        <v>2</v>
      </c>
      <c r="N298" s="458">
        <v>0</v>
      </c>
      <c r="O298" s="470">
        <v>0</v>
      </c>
      <c r="P298" s="470">
        <v>0</v>
      </c>
      <c r="Q298" s="45">
        <v>0</v>
      </c>
      <c r="R298" s="46">
        <v>0</v>
      </c>
      <c r="S298" s="41">
        <v>45865.70045138889</v>
      </c>
      <c r="T298" s="42" t="s">
        <v>41</v>
      </c>
      <c r="U298" s="43" t="s">
        <v>445</v>
      </c>
      <c r="V298" s="34">
        <f t="shared" si="12"/>
        <v>46095.416666666672</v>
      </c>
      <c r="W298" s="471">
        <f t="shared" si="13"/>
        <v>46095.375</v>
      </c>
      <c r="X298" s="35">
        <f t="shared" si="14"/>
        <v>46095.333333333336</v>
      </c>
    </row>
    <row r="299" spans="1:24" ht="21" customHeight="1" thickBot="1">
      <c r="A299" s="290">
        <v>30</v>
      </c>
      <c r="B299" s="172">
        <v>46095</v>
      </c>
      <c r="C299" s="331">
        <v>46095.458333333336</v>
      </c>
      <c r="D299" s="335">
        <v>46095.625</v>
      </c>
      <c r="E299" s="335">
        <v>46095.75</v>
      </c>
      <c r="F299" s="335">
        <v>46095.791666666664</v>
      </c>
      <c r="G299" s="326">
        <v>46095.958333333336</v>
      </c>
      <c r="H299" s="178" t="s">
        <v>253</v>
      </c>
      <c r="I299" s="175" t="s">
        <v>158</v>
      </c>
      <c r="J299" s="188" t="s">
        <v>188</v>
      </c>
      <c r="K299" s="473"/>
      <c r="L299" s="473"/>
      <c r="M299" s="193" t="s">
        <v>108</v>
      </c>
      <c r="N299" s="458">
        <v>0</v>
      </c>
      <c r="O299" s="470">
        <v>0</v>
      </c>
      <c r="P299" s="470">
        <v>0</v>
      </c>
      <c r="Q299" s="45">
        <v>0</v>
      </c>
      <c r="R299" s="46">
        <v>0</v>
      </c>
      <c r="S299" s="41">
        <v>45865.70045138889</v>
      </c>
      <c r="T299" s="42" t="s">
        <v>41</v>
      </c>
      <c r="U299" s="43" t="s">
        <v>445</v>
      </c>
      <c r="V299" s="34">
        <f t="shared" si="12"/>
        <v>46095.416666666672</v>
      </c>
      <c r="W299" s="471">
        <f t="shared" si="13"/>
        <v>46095.375</v>
      </c>
      <c r="X299" s="35">
        <f t="shared" si="14"/>
        <v>46095.333333333336</v>
      </c>
    </row>
    <row r="300" spans="1:24" ht="21" customHeight="1" thickBot="1">
      <c r="A300" s="290">
        <v>30</v>
      </c>
      <c r="B300" s="172">
        <v>46095</v>
      </c>
      <c r="C300" s="331">
        <v>46095.458333333336</v>
      </c>
      <c r="D300" s="335">
        <v>46095.625</v>
      </c>
      <c r="E300" s="335">
        <v>46095.75</v>
      </c>
      <c r="F300" s="335">
        <v>46095.791666666664</v>
      </c>
      <c r="G300" s="326">
        <v>46095.958333333336</v>
      </c>
      <c r="H300" s="178" t="s">
        <v>502</v>
      </c>
      <c r="I300" s="175" t="s">
        <v>448</v>
      </c>
      <c r="J300" s="188" t="s">
        <v>443</v>
      </c>
      <c r="K300" s="473"/>
      <c r="L300" s="473"/>
      <c r="M300" s="193" t="s">
        <v>4</v>
      </c>
      <c r="N300" s="458">
        <v>0</v>
      </c>
      <c r="O300" s="470">
        <v>0</v>
      </c>
      <c r="P300" s="470">
        <v>0</v>
      </c>
      <c r="Q300" s="45">
        <v>0</v>
      </c>
      <c r="R300" s="46">
        <v>0</v>
      </c>
      <c r="S300" s="41">
        <v>45865.70045138889</v>
      </c>
      <c r="T300" s="42" t="s">
        <v>41</v>
      </c>
      <c r="U300" s="43" t="s">
        <v>445</v>
      </c>
      <c r="V300" s="34">
        <f t="shared" si="12"/>
        <v>46095.416666666672</v>
      </c>
      <c r="W300" s="471">
        <f t="shared" si="13"/>
        <v>46095.375</v>
      </c>
      <c r="X300" s="35">
        <f t="shared" si="14"/>
        <v>46095.333333333336</v>
      </c>
    </row>
    <row r="301" spans="1:24" ht="21" customHeight="1" thickBot="1">
      <c r="A301" s="290">
        <v>30</v>
      </c>
      <c r="B301" s="172">
        <v>46095</v>
      </c>
      <c r="C301" s="331">
        <v>46095.458333333336</v>
      </c>
      <c r="D301" s="335">
        <v>46095.625</v>
      </c>
      <c r="E301" s="335">
        <v>46095.75</v>
      </c>
      <c r="F301" s="335">
        <v>46095.791666666664</v>
      </c>
      <c r="G301" s="326">
        <v>46095.958333333336</v>
      </c>
      <c r="H301" s="178" t="s">
        <v>233</v>
      </c>
      <c r="I301" s="175" t="s">
        <v>42</v>
      </c>
      <c r="J301" s="188" t="s">
        <v>14</v>
      </c>
      <c r="K301" s="473"/>
      <c r="L301" s="473"/>
      <c r="M301" s="193" t="s">
        <v>10</v>
      </c>
      <c r="N301" s="458">
        <v>0</v>
      </c>
      <c r="O301" s="470">
        <v>0</v>
      </c>
      <c r="P301" s="470">
        <v>0</v>
      </c>
      <c r="Q301" s="45">
        <v>0</v>
      </c>
      <c r="R301" s="46">
        <v>0</v>
      </c>
      <c r="S301" s="41">
        <v>45865.70045138889</v>
      </c>
      <c r="T301" s="42" t="s">
        <v>41</v>
      </c>
      <c r="U301" s="43" t="s">
        <v>445</v>
      </c>
      <c r="V301" s="34">
        <f t="shared" si="12"/>
        <v>46095.416666666672</v>
      </c>
      <c r="W301" s="471">
        <f t="shared" si="13"/>
        <v>46095.375</v>
      </c>
      <c r="X301" s="35">
        <f t="shared" si="14"/>
        <v>46095.333333333336</v>
      </c>
    </row>
    <row r="302" spans="1:24" ht="21" customHeight="1" thickBot="1">
      <c r="A302" s="289">
        <v>31</v>
      </c>
      <c r="B302" s="171">
        <v>46102</v>
      </c>
      <c r="C302" s="330">
        <v>46102.458333333336</v>
      </c>
      <c r="D302" s="334">
        <v>46102.625</v>
      </c>
      <c r="E302" s="334">
        <v>46102.75</v>
      </c>
      <c r="F302" s="334">
        <v>46102.791666666664</v>
      </c>
      <c r="G302" s="325">
        <v>46102.958333333336</v>
      </c>
      <c r="H302" s="177" t="s">
        <v>348</v>
      </c>
      <c r="I302" s="174" t="s">
        <v>49</v>
      </c>
      <c r="J302" s="187" t="s">
        <v>2</v>
      </c>
      <c r="K302" s="473"/>
      <c r="L302" s="473"/>
      <c r="M302" s="192" t="s">
        <v>14</v>
      </c>
      <c r="N302" s="456">
        <v>0</v>
      </c>
      <c r="O302" s="457">
        <v>0</v>
      </c>
      <c r="P302" s="457">
        <v>0</v>
      </c>
      <c r="Q302" s="39">
        <v>0</v>
      </c>
      <c r="R302" s="40">
        <v>0</v>
      </c>
      <c r="S302" s="36">
        <v>45865.70045138889</v>
      </c>
      <c r="T302" s="37" t="s">
        <v>41</v>
      </c>
      <c r="U302" s="38" t="s">
        <v>445</v>
      </c>
      <c r="V302" s="56">
        <f t="shared" si="12"/>
        <v>46102.416666666672</v>
      </c>
      <c r="W302" s="57">
        <f t="shared" si="13"/>
        <v>46102.375</v>
      </c>
      <c r="X302" s="58">
        <f t="shared" si="14"/>
        <v>46102.333333333336</v>
      </c>
    </row>
    <row r="303" spans="1:24" ht="21" customHeight="1" thickBot="1">
      <c r="A303" s="290">
        <v>31</v>
      </c>
      <c r="B303" s="172">
        <v>46102</v>
      </c>
      <c r="C303" s="331">
        <v>46102.458333333336</v>
      </c>
      <c r="D303" s="335">
        <v>46102.625</v>
      </c>
      <c r="E303" s="335">
        <v>46102.75</v>
      </c>
      <c r="F303" s="335">
        <v>46102.791666666664</v>
      </c>
      <c r="G303" s="326">
        <v>46102.958333333336</v>
      </c>
      <c r="H303" s="178" t="s">
        <v>406</v>
      </c>
      <c r="I303" s="175" t="s">
        <v>43</v>
      </c>
      <c r="J303" s="188" t="s">
        <v>3</v>
      </c>
      <c r="K303" s="473"/>
      <c r="L303" s="473"/>
      <c r="M303" s="193" t="s">
        <v>11</v>
      </c>
      <c r="N303" s="458">
        <v>0</v>
      </c>
      <c r="O303" s="470">
        <v>0</v>
      </c>
      <c r="P303" s="470">
        <v>0</v>
      </c>
      <c r="Q303" s="45">
        <v>0</v>
      </c>
      <c r="R303" s="46">
        <v>0</v>
      </c>
      <c r="S303" s="41">
        <v>45865.70045138889</v>
      </c>
      <c r="T303" s="42" t="s">
        <v>41</v>
      </c>
      <c r="U303" s="43" t="s">
        <v>445</v>
      </c>
      <c r="V303" s="34">
        <f t="shared" si="12"/>
        <v>46102.416666666672</v>
      </c>
      <c r="W303" s="471">
        <f t="shared" si="13"/>
        <v>46102.375</v>
      </c>
      <c r="X303" s="35">
        <f t="shared" si="14"/>
        <v>46102.333333333336</v>
      </c>
    </row>
    <row r="304" spans="1:24" ht="21" customHeight="1" thickBot="1">
      <c r="A304" s="290">
        <v>31</v>
      </c>
      <c r="B304" s="172">
        <v>46102</v>
      </c>
      <c r="C304" s="331">
        <v>46102.458333333336</v>
      </c>
      <c r="D304" s="335">
        <v>46102.625</v>
      </c>
      <c r="E304" s="335">
        <v>46102.75</v>
      </c>
      <c r="F304" s="335">
        <v>46102.791666666664</v>
      </c>
      <c r="G304" s="326">
        <v>46102.958333333336</v>
      </c>
      <c r="H304" s="178" t="s">
        <v>424</v>
      </c>
      <c r="I304" s="175" t="s">
        <v>217</v>
      </c>
      <c r="J304" s="188" t="s">
        <v>4</v>
      </c>
      <c r="K304" s="473"/>
      <c r="L304" s="473"/>
      <c r="M304" s="193" t="s">
        <v>9</v>
      </c>
      <c r="N304" s="458">
        <v>0</v>
      </c>
      <c r="O304" s="470">
        <v>0</v>
      </c>
      <c r="P304" s="470">
        <v>0</v>
      </c>
      <c r="Q304" s="45">
        <v>0</v>
      </c>
      <c r="R304" s="46">
        <v>0</v>
      </c>
      <c r="S304" s="41">
        <v>45865.70045138889</v>
      </c>
      <c r="T304" s="42" t="s">
        <v>41</v>
      </c>
      <c r="U304" s="43" t="s">
        <v>445</v>
      </c>
      <c r="V304" s="34">
        <f t="shared" si="12"/>
        <v>46102.416666666672</v>
      </c>
      <c r="W304" s="471">
        <f t="shared" si="13"/>
        <v>46102.375</v>
      </c>
      <c r="X304" s="35">
        <f t="shared" si="14"/>
        <v>46102.333333333336</v>
      </c>
    </row>
    <row r="305" spans="1:24" ht="21" customHeight="1" thickBot="1">
      <c r="A305" s="290">
        <v>31</v>
      </c>
      <c r="B305" s="172">
        <v>46102</v>
      </c>
      <c r="C305" s="331">
        <v>46102.458333333336</v>
      </c>
      <c r="D305" s="335">
        <v>46102.625</v>
      </c>
      <c r="E305" s="335">
        <v>46102.75</v>
      </c>
      <c r="F305" s="335">
        <v>46102.791666666664</v>
      </c>
      <c r="G305" s="326">
        <v>46102.958333333336</v>
      </c>
      <c r="H305" s="178" t="s">
        <v>149</v>
      </c>
      <c r="I305" s="175" t="s">
        <v>452</v>
      </c>
      <c r="J305" s="188" t="s">
        <v>8</v>
      </c>
      <c r="K305" s="473"/>
      <c r="L305" s="473"/>
      <c r="M305" s="193" t="s">
        <v>6</v>
      </c>
      <c r="N305" s="458">
        <v>0</v>
      </c>
      <c r="O305" s="470">
        <v>0</v>
      </c>
      <c r="P305" s="470">
        <v>0</v>
      </c>
      <c r="Q305" s="45">
        <v>0</v>
      </c>
      <c r="R305" s="46">
        <v>0</v>
      </c>
      <c r="S305" s="41">
        <v>45865.70045138889</v>
      </c>
      <c r="T305" s="42" t="s">
        <v>41</v>
      </c>
      <c r="U305" s="43" t="s">
        <v>445</v>
      </c>
      <c r="V305" s="34">
        <f t="shared" si="12"/>
        <v>46102.416666666672</v>
      </c>
      <c r="W305" s="471">
        <f t="shared" si="13"/>
        <v>46102.375</v>
      </c>
      <c r="X305" s="35">
        <f t="shared" si="14"/>
        <v>46102.333333333336</v>
      </c>
    </row>
    <row r="306" spans="1:24" ht="21" customHeight="1" thickBot="1">
      <c r="A306" s="290">
        <v>31</v>
      </c>
      <c r="B306" s="172">
        <v>46102</v>
      </c>
      <c r="C306" s="331">
        <v>46102.458333333336</v>
      </c>
      <c r="D306" s="335">
        <v>46102.625</v>
      </c>
      <c r="E306" s="335">
        <v>46102.75</v>
      </c>
      <c r="F306" s="335">
        <v>46102.791666666664</v>
      </c>
      <c r="G306" s="326">
        <v>46102.958333333336</v>
      </c>
      <c r="H306" s="178" t="s">
        <v>552</v>
      </c>
      <c r="I306" s="175" t="s">
        <v>157</v>
      </c>
      <c r="J306" s="188" t="s">
        <v>108</v>
      </c>
      <c r="K306" s="473"/>
      <c r="L306" s="473"/>
      <c r="M306" s="193" t="s">
        <v>5</v>
      </c>
      <c r="N306" s="458">
        <v>0</v>
      </c>
      <c r="O306" s="470">
        <v>0</v>
      </c>
      <c r="P306" s="470">
        <v>0</v>
      </c>
      <c r="Q306" s="45">
        <v>0</v>
      </c>
      <c r="R306" s="46">
        <v>0</v>
      </c>
      <c r="S306" s="41">
        <v>45865.70045138889</v>
      </c>
      <c r="T306" s="42" t="s">
        <v>41</v>
      </c>
      <c r="U306" s="43" t="s">
        <v>445</v>
      </c>
      <c r="V306" s="34">
        <f t="shared" si="12"/>
        <v>46102.416666666672</v>
      </c>
      <c r="W306" s="471">
        <f t="shared" si="13"/>
        <v>46102.375</v>
      </c>
      <c r="X306" s="35">
        <f t="shared" si="14"/>
        <v>46102.333333333336</v>
      </c>
    </row>
    <row r="307" spans="1:24" ht="21" customHeight="1" thickBot="1">
      <c r="A307" s="290">
        <v>31</v>
      </c>
      <c r="B307" s="172">
        <v>46102</v>
      </c>
      <c r="C307" s="331">
        <v>46102.458333333336</v>
      </c>
      <c r="D307" s="335">
        <v>46102.625</v>
      </c>
      <c r="E307" s="335">
        <v>46102.75</v>
      </c>
      <c r="F307" s="335">
        <v>46102.791666666664</v>
      </c>
      <c r="G307" s="326">
        <v>46102.958333333336</v>
      </c>
      <c r="H307" s="178" t="s">
        <v>553</v>
      </c>
      <c r="I307" s="175" t="s">
        <v>449</v>
      </c>
      <c r="J307" s="188" t="s">
        <v>444</v>
      </c>
      <c r="K307" s="473"/>
      <c r="L307" s="473"/>
      <c r="M307" s="193" t="s">
        <v>107</v>
      </c>
      <c r="N307" s="458">
        <v>0</v>
      </c>
      <c r="O307" s="470">
        <v>0</v>
      </c>
      <c r="P307" s="470">
        <v>0</v>
      </c>
      <c r="Q307" s="45">
        <v>0</v>
      </c>
      <c r="R307" s="46">
        <v>0</v>
      </c>
      <c r="S307" s="41">
        <v>45865.70045138889</v>
      </c>
      <c r="T307" s="42" t="s">
        <v>41</v>
      </c>
      <c r="U307" s="43" t="s">
        <v>445</v>
      </c>
      <c r="V307" s="34">
        <f t="shared" si="12"/>
        <v>46102.416666666672</v>
      </c>
      <c r="W307" s="471">
        <f t="shared" si="13"/>
        <v>46102.375</v>
      </c>
      <c r="X307" s="35">
        <f t="shared" si="14"/>
        <v>46102.333333333336</v>
      </c>
    </row>
    <row r="308" spans="1:24" ht="21" customHeight="1" thickBot="1">
      <c r="A308" s="290">
        <v>31</v>
      </c>
      <c r="B308" s="172">
        <v>46102</v>
      </c>
      <c r="C308" s="331">
        <v>46102.458333333336</v>
      </c>
      <c r="D308" s="335">
        <v>46102.625</v>
      </c>
      <c r="E308" s="335">
        <v>46102.75</v>
      </c>
      <c r="F308" s="335">
        <v>46102.791666666664</v>
      </c>
      <c r="G308" s="326">
        <v>46102.958333333336</v>
      </c>
      <c r="H308" s="178" t="s">
        <v>396</v>
      </c>
      <c r="I308" s="175" t="s">
        <v>50</v>
      </c>
      <c r="J308" s="188" t="s">
        <v>10</v>
      </c>
      <c r="K308" s="473"/>
      <c r="L308" s="473"/>
      <c r="M308" s="193" t="s">
        <v>7</v>
      </c>
      <c r="N308" s="458">
        <v>0</v>
      </c>
      <c r="O308" s="470">
        <v>0</v>
      </c>
      <c r="P308" s="470">
        <v>0</v>
      </c>
      <c r="Q308" s="45">
        <v>0</v>
      </c>
      <c r="R308" s="46">
        <v>0</v>
      </c>
      <c r="S308" s="41">
        <v>45865.70045138889</v>
      </c>
      <c r="T308" s="42" t="s">
        <v>41</v>
      </c>
      <c r="U308" s="43" t="s">
        <v>445</v>
      </c>
      <c r="V308" s="34">
        <f t="shared" si="12"/>
        <v>46102.416666666672</v>
      </c>
      <c r="W308" s="471">
        <f t="shared" si="13"/>
        <v>46102.375</v>
      </c>
      <c r="X308" s="35">
        <f t="shared" si="14"/>
        <v>46102.333333333336</v>
      </c>
    </row>
    <row r="309" spans="1:24" ht="21" customHeight="1" thickBot="1">
      <c r="A309" s="290">
        <v>31</v>
      </c>
      <c r="B309" s="172">
        <v>46102</v>
      </c>
      <c r="C309" s="331">
        <v>46102.458333333336</v>
      </c>
      <c r="D309" s="335">
        <v>46102.625</v>
      </c>
      <c r="E309" s="335">
        <v>46102.75</v>
      </c>
      <c r="F309" s="335">
        <v>46102.791666666664</v>
      </c>
      <c r="G309" s="326">
        <v>46102.958333333336</v>
      </c>
      <c r="H309" s="178" t="s">
        <v>554</v>
      </c>
      <c r="I309" s="175" t="s">
        <v>46</v>
      </c>
      <c r="J309" s="188" t="s">
        <v>12</v>
      </c>
      <c r="K309" s="473"/>
      <c r="L309" s="473"/>
      <c r="M309" s="193" t="s">
        <v>443</v>
      </c>
      <c r="N309" s="458">
        <v>0</v>
      </c>
      <c r="O309" s="470">
        <v>0</v>
      </c>
      <c r="P309" s="470">
        <v>0</v>
      </c>
      <c r="Q309" s="45">
        <v>0</v>
      </c>
      <c r="R309" s="46">
        <v>0</v>
      </c>
      <c r="S309" s="41">
        <v>45865.70045138889</v>
      </c>
      <c r="T309" s="42" t="s">
        <v>41</v>
      </c>
      <c r="U309" s="43" t="s">
        <v>445</v>
      </c>
      <c r="V309" s="34">
        <f t="shared" si="12"/>
        <v>46102.416666666672</v>
      </c>
      <c r="W309" s="471">
        <f t="shared" si="13"/>
        <v>46102.375</v>
      </c>
      <c r="X309" s="35">
        <f t="shared" si="14"/>
        <v>46102.333333333336</v>
      </c>
    </row>
    <row r="310" spans="1:24" ht="21" customHeight="1" thickBot="1">
      <c r="A310" s="290">
        <v>31</v>
      </c>
      <c r="B310" s="172">
        <v>46102</v>
      </c>
      <c r="C310" s="331">
        <v>46102.458333333336</v>
      </c>
      <c r="D310" s="335">
        <v>46102.625</v>
      </c>
      <c r="E310" s="335">
        <v>46102.75</v>
      </c>
      <c r="F310" s="335">
        <v>46102.791666666664</v>
      </c>
      <c r="G310" s="326">
        <v>46102.958333333336</v>
      </c>
      <c r="H310" s="178" t="s">
        <v>405</v>
      </c>
      <c r="I310" s="175" t="s">
        <v>45</v>
      </c>
      <c r="J310" s="188" t="s">
        <v>13</v>
      </c>
      <c r="K310" s="473"/>
      <c r="L310" s="473"/>
      <c r="M310" s="193" t="s">
        <v>188</v>
      </c>
      <c r="N310" s="458">
        <v>0</v>
      </c>
      <c r="O310" s="470">
        <v>0</v>
      </c>
      <c r="P310" s="470">
        <v>0</v>
      </c>
      <c r="Q310" s="45">
        <v>0</v>
      </c>
      <c r="R310" s="46">
        <v>0</v>
      </c>
      <c r="S310" s="41">
        <v>45865.70045138889</v>
      </c>
      <c r="T310" s="42" t="s">
        <v>41</v>
      </c>
      <c r="U310" s="43" t="s">
        <v>445</v>
      </c>
      <c r="V310" s="34">
        <f t="shared" si="12"/>
        <v>46102.416666666672</v>
      </c>
      <c r="W310" s="471">
        <f t="shared" si="13"/>
        <v>46102.375</v>
      </c>
      <c r="X310" s="35">
        <f t="shared" si="14"/>
        <v>46102.333333333336</v>
      </c>
    </row>
    <row r="311" spans="1:24" ht="21" customHeight="1" thickBot="1">
      <c r="A311" s="290">
        <v>31</v>
      </c>
      <c r="B311" s="172">
        <v>46102</v>
      </c>
      <c r="C311" s="331">
        <v>46102.458333333336</v>
      </c>
      <c r="D311" s="335">
        <v>46102.625</v>
      </c>
      <c r="E311" s="335">
        <v>46102.75</v>
      </c>
      <c r="F311" s="335">
        <v>46102.791666666664</v>
      </c>
      <c r="G311" s="326">
        <v>46102.958333333336</v>
      </c>
      <c r="H311" s="178" t="s">
        <v>346</v>
      </c>
      <c r="I311" s="175" t="s">
        <v>52</v>
      </c>
      <c r="J311" s="188" t="s">
        <v>15</v>
      </c>
      <c r="K311" s="473"/>
      <c r="L311" s="473"/>
      <c r="M311" s="193" t="s">
        <v>1</v>
      </c>
      <c r="N311" s="458">
        <v>0</v>
      </c>
      <c r="O311" s="470">
        <v>0</v>
      </c>
      <c r="P311" s="470">
        <v>0</v>
      </c>
      <c r="Q311" s="45">
        <v>0</v>
      </c>
      <c r="R311" s="46">
        <v>0</v>
      </c>
      <c r="S311" s="41">
        <v>45865.70045138889</v>
      </c>
      <c r="T311" s="42" t="s">
        <v>41</v>
      </c>
      <c r="U311" s="43" t="s">
        <v>445</v>
      </c>
      <c r="V311" s="34">
        <f t="shared" si="12"/>
        <v>46102.416666666672</v>
      </c>
      <c r="W311" s="471">
        <f t="shared" si="13"/>
        <v>46102.375</v>
      </c>
      <c r="X311" s="35">
        <f t="shared" si="14"/>
        <v>46102.333333333336</v>
      </c>
    </row>
    <row r="312" spans="1:24" ht="21" customHeight="1" thickBot="1">
      <c r="A312" s="289">
        <v>32</v>
      </c>
      <c r="B312" s="171">
        <v>46123</v>
      </c>
      <c r="C312" s="330">
        <v>46123.416666666664</v>
      </c>
      <c r="D312" s="334">
        <v>46123.625</v>
      </c>
      <c r="E312" s="334">
        <v>46123.708333333336</v>
      </c>
      <c r="F312" s="334">
        <v>46123.75</v>
      </c>
      <c r="G312" s="325">
        <v>46123.916666666664</v>
      </c>
      <c r="H312" s="177" t="s">
        <v>411</v>
      </c>
      <c r="I312" s="174" t="s">
        <v>48</v>
      </c>
      <c r="J312" s="187" t="s">
        <v>1</v>
      </c>
      <c r="K312" s="473"/>
      <c r="L312" s="473"/>
      <c r="M312" s="192" t="s">
        <v>3</v>
      </c>
      <c r="N312" s="456">
        <v>0</v>
      </c>
      <c r="O312" s="457">
        <v>0</v>
      </c>
      <c r="P312" s="457">
        <v>0</v>
      </c>
      <c r="Q312" s="39">
        <v>0</v>
      </c>
      <c r="R312" s="40">
        <v>0</v>
      </c>
      <c r="S312" s="36">
        <v>45865.70045138889</v>
      </c>
      <c r="T312" s="37" t="s">
        <v>41</v>
      </c>
      <c r="U312" s="38" t="s">
        <v>445</v>
      </c>
      <c r="V312" s="56">
        <f t="shared" si="12"/>
        <v>46123.375</v>
      </c>
      <c r="W312" s="57">
        <f t="shared" si="13"/>
        <v>46123.333333333328</v>
      </c>
      <c r="X312" s="58">
        <f t="shared" si="14"/>
        <v>46123.291666666664</v>
      </c>
    </row>
    <row r="313" spans="1:24" ht="21" customHeight="1" thickBot="1">
      <c r="A313" s="290">
        <v>32</v>
      </c>
      <c r="B313" s="172">
        <v>46123</v>
      </c>
      <c r="C313" s="331">
        <v>46123.416666666664</v>
      </c>
      <c r="D313" s="335">
        <v>46123.625</v>
      </c>
      <c r="E313" s="335">
        <v>46123.708333333336</v>
      </c>
      <c r="F313" s="335">
        <v>46123.75</v>
      </c>
      <c r="G313" s="326">
        <v>46123.916666666664</v>
      </c>
      <c r="H313" s="178" t="s">
        <v>125</v>
      </c>
      <c r="I313" s="175" t="s">
        <v>172</v>
      </c>
      <c r="J313" s="188" t="s">
        <v>107</v>
      </c>
      <c r="K313" s="473"/>
      <c r="L313" s="473"/>
      <c r="M313" s="193" t="s">
        <v>8</v>
      </c>
      <c r="N313" s="458">
        <v>0</v>
      </c>
      <c r="O313" s="470">
        <v>0</v>
      </c>
      <c r="P313" s="470">
        <v>0</v>
      </c>
      <c r="Q313" s="45">
        <v>0</v>
      </c>
      <c r="R313" s="46">
        <v>0</v>
      </c>
      <c r="S313" s="41">
        <v>45865.70045138889</v>
      </c>
      <c r="T313" s="42" t="s">
        <v>41</v>
      </c>
      <c r="U313" s="43" t="s">
        <v>445</v>
      </c>
      <c r="V313" s="34">
        <f t="shared" si="12"/>
        <v>46123.375</v>
      </c>
      <c r="W313" s="471">
        <f t="shared" si="13"/>
        <v>46123.333333333328</v>
      </c>
      <c r="X313" s="35">
        <f t="shared" si="14"/>
        <v>46123.291666666664</v>
      </c>
    </row>
    <row r="314" spans="1:24" ht="21" customHeight="1" thickBot="1">
      <c r="A314" s="290">
        <v>32</v>
      </c>
      <c r="B314" s="172">
        <v>46123</v>
      </c>
      <c r="C314" s="331">
        <v>46123.416666666664</v>
      </c>
      <c r="D314" s="335">
        <v>46123.625</v>
      </c>
      <c r="E314" s="335">
        <v>46123.708333333336</v>
      </c>
      <c r="F314" s="335">
        <v>46123.75</v>
      </c>
      <c r="G314" s="326">
        <v>46123.916666666664</v>
      </c>
      <c r="H314" s="178" t="s">
        <v>503</v>
      </c>
      <c r="I314" s="175" t="s">
        <v>451</v>
      </c>
      <c r="J314" s="188" t="s">
        <v>5</v>
      </c>
      <c r="K314" s="473"/>
      <c r="L314" s="473"/>
      <c r="M314" s="193" t="s">
        <v>4</v>
      </c>
      <c r="N314" s="458">
        <v>0</v>
      </c>
      <c r="O314" s="470">
        <v>0</v>
      </c>
      <c r="P314" s="470">
        <v>0</v>
      </c>
      <c r="Q314" s="45">
        <v>0</v>
      </c>
      <c r="R314" s="46">
        <v>0</v>
      </c>
      <c r="S314" s="41">
        <v>45865.70045138889</v>
      </c>
      <c r="T314" s="42" t="s">
        <v>41</v>
      </c>
      <c r="U314" s="43" t="s">
        <v>445</v>
      </c>
      <c r="V314" s="34">
        <f t="shared" si="12"/>
        <v>46123.375</v>
      </c>
      <c r="W314" s="471">
        <f t="shared" si="13"/>
        <v>46123.333333333328</v>
      </c>
      <c r="X314" s="35">
        <f t="shared" si="14"/>
        <v>46123.291666666664</v>
      </c>
    </row>
    <row r="315" spans="1:24" ht="21" customHeight="1" thickBot="1">
      <c r="A315" s="290">
        <v>32</v>
      </c>
      <c r="B315" s="172">
        <v>46123</v>
      </c>
      <c r="C315" s="331">
        <v>46123.416666666664</v>
      </c>
      <c r="D315" s="335">
        <v>46123.625</v>
      </c>
      <c r="E315" s="335">
        <v>46123.708333333336</v>
      </c>
      <c r="F315" s="335">
        <v>46123.75</v>
      </c>
      <c r="G315" s="326">
        <v>46123.916666666664</v>
      </c>
      <c r="H315" s="178" t="s">
        <v>224</v>
      </c>
      <c r="I315" s="175" t="s">
        <v>51</v>
      </c>
      <c r="J315" s="188" t="s">
        <v>6</v>
      </c>
      <c r="K315" s="473"/>
      <c r="L315" s="473"/>
      <c r="M315" s="193" t="s">
        <v>10</v>
      </c>
      <c r="N315" s="458">
        <v>0</v>
      </c>
      <c r="O315" s="470">
        <v>0</v>
      </c>
      <c r="P315" s="470">
        <v>0</v>
      </c>
      <c r="Q315" s="45">
        <v>0</v>
      </c>
      <c r="R315" s="46">
        <v>0</v>
      </c>
      <c r="S315" s="41">
        <v>45865.70045138889</v>
      </c>
      <c r="T315" s="42" t="s">
        <v>41</v>
      </c>
      <c r="U315" s="43" t="s">
        <v>445</v>
      </c>
      <c r="V315" s="34">
        <f t="shared" si="12"/>
        <v>46123.375</v>
      </c>
      <c r="W315" s="471">
        <f t="shared" si="13"/>
        <v>46123.333333333328</v>
      </c>
      <c r="X315" s="35">
        <f t="shared" si="14"/>
        <v>46123.291666666664</v>
      </c>
    </row>
    <row r="316" spans="1:24" ht="21" customHeight="1" thickBot="1">
      <c r="A316" s="290">
        <v>32</v>
      </c>
      <c r="B316" s="172">
        <v>46123</v>
      </c>
      <c r="C316" s="331">
        <v>46123.416666666664</v>
      </c>
      <c r="D316" s="335">
        <v>46123.625</v>
      </c>
      <c r="E316" s="335">
        <v>46123.708333333336</v>
      </c>
      <c r="F316" s="335">
        <v>46123.75</v>
      </c>
      <c r="G316" s="326">
        <v>46123.916666666664</v>
      </c>
      <c r="H316" s="178" t="s">
        <v>289</v>
      </c>
      <c r="I316" s="175" t="s">
        <v>44</v>
      </c>
      <c r="J316" s="188" t="s">
        <v>7</v>
      </c>
      <c r="K316" s="473"/>
      <c r="L316" s="473"/>
      <c r="M316" s="193" t="s">
        <v>12</v>
      </c>
      <c r="N316" s="458">
        <v>0</v>
      </c>
      <c r="O316" s="470">
        <v>0</v>
      </c>
      <c r="P316" s="470">
        <v>0</v>
      </c>
      <c r="Q316" s="45">
        <v>0</v>
      </c>
      <c r="R316" s="46">
        <v>0</v>
      </c>
      <c r="S316" s="41">
        <v>45865.70045138889</v>
      </c>
      <c r="T316" s="42" t="s">
        <v>41</v>
      </c>
      <c r="U316" s="43" t="s">
        <v>445</v>
      </c>
      <c r="V316" s="34">
        <f t="shared" si="12"/>
        <v>46123.375</v>
      </c>
      <c r="W316" s="471">
        <f t="shared" si="13"/>
        <v>46123.333333333328</v>
      </c>
      <c r="X316" s="35">
        <f t="shared" si="14"/>
        <v>46123.291666666664</v>
      </c>
    </row>
    <row r="317" spans="1:24" ht="21" customHeight="1" thickBot="1">
      <c r="A317" s="290">
        <v>32</v>
      </c>
      <c r="B317" s="172">
        <v>46123</v>
      </c>
      <c r="C317" s="331">
        <v>46123.416666666664</v>
      </c>
      <c r="D317" s="335">
        <v>46123.625</v>
      </c>
      <c r="E317" s="335">
        <v>46123.708333333336</v>
      </c>
      <c r="F317" s="335">
        <v>46123.75</v>
      </c>
      <c r="G317" s="326">
        <v>46123.916666666664</v>
      </c>
      <c r="H317" s="178" t="s">
        <v>168</v>
      </c>
      <c r="I317" s="175" t="s">
        <v>40</v>
      </c>
      <c r="J317" s="188" t="s">
        <v>9</v>
      </c>
      <c r="K317" s="473"/>
      <c r="L317" s="473"/>
      <c r="M317" s="193" t="s">
        <v>108</v>
      </c>
      <c r="N317" s="458">
        <v>0</v>
      </c>
      <c r="O317" s="470">
        <v>0</v>
      </c>
      <c r="P317" s="470">
        <v>0</v>
      </c>
      <c r="Q317" s="45">
        <v>0</v>
      </c>
      <c r="R317" s="46">
        <v>0</v>
      </c>
      <c r="S317" s="41">
        <v>45865.70045138889</v>
      </c>
      <c r="T317" s="42" t="s">
        <v>41</v>
      </c>
      <c r="U317" s="43" t="s">
        <v>445</v>
      </c>
      <c r="V317" s="34">
        <f t="shared" si="12"/>
        <v>46123.375</v>
      </c>
      <c r="W317" s="471">
        <f t="shared" si="13"/>
        <v>46123.333333333328</v>
      </c>
      <c r="X317" s="35">
        <f t="shared" si="14"/>
        <v>46123.291666666664</v>
      </c>
    </row>
    <row r="318" spans="1:24" ht="21" customHeight="1" thickBot="1">
      <c r="A318" s="290">
        <v>32</v>
      </c>
      <c r="B318" s="172">
        <v>46123</v>
      </c>
      <c r="C318" s="331">
        <v>46123.416666666664</v>
      </c>
      <c r="D318" s="335">
        <v>46123.625</v>
      </c>
      <c r="E318" s="335">
        <v>46123.708333333336</v>
      </c>
      <c r="F318" s="335">
        <v>46123.75</v>
      </c>
      <c r="G318" s="326">
        <v>46123.916666666664</v>
      </c>
      <c r="H318" s="178" t="s">
        <v>543</v>
      </c>
      <c r="I318" s="175" t="s">
        <v>47</v>
      </c>
      <c r="J318" s="188" t="s">
        <v>11</v>
      </c>
      <c r="K318" s="473"/>
      <c r="L318" s="473"/>
      <c r="M318" s="193" t="s">
        <v>444</v>
      </c>
      <c r="N318" s="458">
        <v>0</v>
      </c>
      <c r="O318" s="470">
        <v>0</v>
      </c>
      <c r="P318" s="470">
        <v>0</v>
      </c>
      <c r="Q318" s="45">
        <v>0</v>
      </c>
      <c r="R318" s="46">
        <v>0</v>
      </c>
      <c r="S318" s="41">
        <v>45865.70045138889</v>
      </c>
      <c r="T318" s="42" t="s">
        <v>41</v>
      </c>
      <c r="U318" s="43" t="s">
        <v>445</v>
      </c>
      <c r="V318" s="34">
        <f t="shared" si="12"/>
        <v>46123.375</v>
      </c>
      <c r="W318" s="471">
        <f t="shared" si="13"/>
        <v>46123.333333333328</v>
      </c>
      <c r="X318" s="35">
        <f t="shared" si="14"/>
        <v>46123.291666666664</v>
      </c>
    </row>
    <row r="319" spans="1:24" ht="21" customHeight="1" thickBot="1">
      <c r="A319" s="290">
        <v>32</v>
      </c>
      <c r="B319" s="172">
        <v>46123</v>
      </c>
      <c r="C319" s="331">
        <v>46123.416666666664</v>
      </c>
      <c r="D319" s="335">
        <v>46123.625</v>
      </c>
      <c r="E319" s="335">
        <v>46123.708333333336</v>
      </c>
      <c r="F319" s="335">
        <v>46123.75</v>
      </c>
      <c r="G319" s="326">
        <v>46123.916666666664</v>
      </c>
      <c r="H319" s="178" t="s">
        <v>306</v>
      </c>
      <c r="I319" s="175" t="s">
        <v>158</v>
      </c>
      <c r="J319" s="188" t="s">
        <v>188</v>
      </c>
      <c r="K319" s="473"/>
      <c r="L319" s="473"/>
      <c r="M319" s="193" t="s">
        <v>2</v>
      </c>
      <c r="N319" s="458">
        <v>0</v>
      </c>
      <c r="O319" s="470">
        <v>0</v>
      </c>
      <c r="P319" s="470">
        <v>0</v>
      </c>
      <c r="Q319" s="45">
        <v>0</v>
      </c>
      <c r="R319" s="46">
        <v>0</v>
      </c>
      <c r="S319" s="41">
        <v>45865.70045138889</v>
      </c>
      <c r="T319" s="42" t="s">
        <v>41</v>
      </c>
      <c r="U319" s="43" t="s">
        <v>445</v>
      </c>
      <c r="V319" s="34">
        <f t="shared" si="12"/>
        <v>46123.375</v>
      </c>
      <c r="W319" s="471">
        <f t="shared" si="13"/>
        <v>46123.333333333328</v>
      </c>
      <c r="X319" s="35">
        <f t="shared" si="14"/>
        <v>46123.291666666664</v>
      </c>
    </row>
    <row r="320" spans="1:24" ht="21" customHeight="1" thickBot="1">
      <c r="A320" s="290">
        <v>32</v>
      </c>
      <c r="B320" s="172">
        <v>46123</v>
      </c>
      <c r="C320" s="331">
        <v>46123.416666666664</v>
      </c>
      <c r="D320" s="335">
        <v>46123.625</v>
      </c>
      <c r="E320" s="335">
        <v>46123.708333333336</v>
      </c>
      <c r="F320" s="335">
        <v>46123.75</v>
      </c>
      <c r="G320" s="326">
        <v>46123.916666666664</v>
      </c>
      <c r="H320" s="178" t="s">
        <v>504</v>
      </c>
      <c r="I320" s="175" t="s">
        <v>448</v>
      </c>
      <c r="J320" s="188" t="s">
        <v>443</v>
      </c>
      <c r="K320" s="473"/>
      <c r="L320" s="473"/>
      <c r="M320" s="193" t="s">
        <v>13</v>
      </c>
      <c r="N320" s="458">
        <v>0</v>
      </c>
      <c r="O320" s="470">
        <v>0</v>
      </c>
      <c r="P320" s="470">
        <v>0</v>
      </c>
      <c r="Q320" s="45">
        <v>0</v>
      </c>
      <c r="R320" s="46">
        <v>0</v>
      </c>
      <c r="S320" s="41">
        <v>45865.70045138889</v>
      </c>
      <c r="T320" s="42" t="s">
        <v>41</v>
      </c>
      <c r="U320" s="43" t="s">
        <v>445</v>
      </c>
      <c r="V320" s="34">
        <f t="shared" si="12"/>
        <v>46123.375</v>
      </c>
      <c r="W320" s="471">
        <f t="shared" si="13"/>
        <v>46123.333333333328</v>
      </c>
      <c r="X320" s="35">
        <f t="shared" si="14"/>
        <v>46123.291666666664</v>
      </c>
    </row>
    <row r="321" spans="1:24" ht="21" customHeight="1" thickBot="1">
      <c r="A321" s="290">
        <v>32</v>
      </c>
      <c r="B321" s="172">
        <v>46123</v>
      </c>
      <c r="C321" s="331">
        <v>46123.416666666664</v>
      </c>
      <c r="D321" s="335">
        <v>46123.625</v>
      </c>
      <c r="E321" s="335">
        <v>46123.708333333336</v>
      </c>
      <c r="F321" s="335">
        <v>46123.75</v>
      </c>
      <c r="G321" s="326">
        <v>46123.916666666664</v>
      </c>
      <c r="H321" s="178" t="s">
        <v>305</v>
      </c>
      <c r="I321" s="175" t="s">
        <v>42</v>
      </c>
      <c r="J321" s="188" t="s">
        <v>14</v>
      </c>
      <c r="K321" s="473"/>
      <c r="L321" s="473"/>
      <c r="M321" s="193" t="s">
        <v>15</v>
      </c>
      <c r="N321" s="458">
        <v>0</v>
      </c>
      <c r="O321" s="470">
        <v>0</v>
      </c>
      <c r="P321" s="470">
        <v>0</v>
      </c>
      <c r="Q321" s="45">
        <v>0</v>
      </c>
      <c r="R321" s="46">
        <v>0</v>
      </c>
      <c r="S321" s="41">
        <v>45865.70045138889</v>
      </c>
      <c r="T321" s="42" t="s">
        <v>41</v>
      </c>
      <c r="U321" s="43" t="s">
        <v>445</v>
      </c>
      <c r="V321" s="34">
        <f t="shared" si="12"/>
        <v>46123.375</v>
      </c>
      <c r="W321" s="471">
        <f t="shared" si="13"/>
        <v>46123.333333333328</v>
      </c>
      <c r="X321" s="35">
        <f t="shared" si="14"/>
        <v>46123.291666666664</v>
      </c>
    </row>
    <row r="322" spans="1:24" ht="21" customHeight="1" thickBot="1">
      <c r="A322" s="289">
        <v>33</v>
      </c>
      <c r="B322" s="171">
        <v>46130</v>
      </c>
      <c r="C322" s="330">
        <v>46130.416666666664</v>
      </c>
      <c r="D322" s="334">
        <v>46130.625</v>
      </c>
      <c r="E322" s="334">
        <v>46130.708333333336</v>
      </c>
      <c r="F322" s="334">
        <v>46130.75</v>
      </c>
      <c r="G322" s="325">
        <v>46130.916666666664</v>
      </c>
      <c r="H322" s="177" t="s">
        <v>505</v>
      </c>
      <c r="I322" s="174" t="s">
        <v>49</v>
      </c>
      <c r="J322" s="187" t="s">
        <v>2</v>
      </c>
      <c r="K322" s="473"/>
      <c r="L322" s="473"/>
      <c r="M322" s="192" t="s">
        <v>443</v>
      </c>
      <c r="N322" s="456">
        <v>0</v>
      </c>
      <c r="O322" s="457">
        <v>0</v>
      </c>
      <c r="P322" s="457">
        <v>0</v>
      </c>
      <c r="Q322" s="39">
        <v>0</v>
      </c>
      <c r="R322" s="40">
        <v>0</v>
      </c>
      <c r="S322" s="36">
        <v>45865.70045138889</v>
      </c>
      <c r="T322" s="37" t="s">
        <v>41</v>
      </c>
      <c r="U322" s="38" t="s">
        <v>445</v>
      </c>
      <c r="V322" s="56">
        <f t="shared" ref="V322:V380" si="15">IF(C322&lt;&gt;"TBC",C322-1/24,"TBC")</f>
        <v>46130.375</v>
      </c>
      <c r="W322" s="57">
        <f t="shared" ref="W322:W380" si="16">IF(C322&lt;&gt;"TBC",C322-1/12,"TBC")</f>
        <v>46130.333333333328</v>
      </c>
      <c r="X322" s="58">
        <f t="shared" ref="X322:X380" si="17">IF(C322&lt;&gt;"TBC",C322-1/8,"TBC")</f>
        <v>46130.291666666664</v>
      </c>
    </row>
    <row r="323" spans="1:24" ht="21" customHeight="1" thickBot="1">
      <c r="A323" s="290">
        <v>33</v>
      </c>
      <c r="B323" s="172">
        <v>46130</v>
      </c>
      <c r="C323" s="331">
        <v>46130.416666666664</v>
      </c>
      <c r="D323" s="335">
        <v>46130.625</v>
      </c>
      <c r="E323" s="335">
        <v>46130.708333333336</v>
      </c>
      <c r="F323" s="335">
        <v>46130.75</v>
      </c>
      <c r="G323" s="326">
        <v>46130.916666666664</v>
      </c>
      <c r="H323" s="178" t="s">
        <v>166</v>
      </c>
      <c r="I323" s="175" t="s">
        <v>172</v>
      </c>
      <c r="J323" s="188" t="s">
        <v>107</v>
      </c>
      <c r="K323" s="473"/>
      <c r="L323" s="473"/>
      <c r="M323" s="193" t="s">
        <v>108</v>
      </c>
      <c r="N323" s="458">
        <v>0</v>
      </c>
      <c r="O323" s="470">
        <v>0</v>
      </c>
      <c r="P323" s="470">
        <v>0</v>
      </c>
      <c r="Q323" s="45">
        <v>0</v>
      </c>
      <c r="R323" s="46">
        <v>0</v>
      </c>
      <c r="S323" s="41">
        <v>45865.70045138889</v>
      </c>
      <c r="T323" s="42" t="s">
        <v>41</v>
      </c>
      <c r="U323" s="43" t="s">
        <v>445</v>
      </c>
      <c r="V323" s="34">
        <f t="shared" si="15"/>
        <v>46130.375</v>
      </c>
      <c r="W323" s="471">
        <f t="shared" si="16"/>
        <v>46130.333333333328</v>
      </c>
      <c r="X323" s="35">
        <f t="shared" si="17"/>
        <v>46130.291666666664</v>
      </c>
    </row>
    <row r="324" spans="1:24" ht="21" customHeight="1" thickBot="1">
      <c r="A324" s="290">
        <v>33</v>
      </c>
      <c r="B324" s="172">
        <v>46130</v>
      </c>
      <c r="C324" s="331">
        <v>46130.416666666664</v>
      </c>
      <c r="D324" s="335">
        <v>46130.625</v>
      </c>
      <c r="E324" s="335">
        <v>46130.708333333336</v>
      </c>
      <c r="F324" s="335">
        <v>46130.75</v>
      </c>
      <c r="G324" s="326">
        <v>46130.916666666664</v>
      </c>
      <c r="H324" s="178" t="s">
        <v>425</v>
      </c>
      <c r="I324" s="175" t="s">
        <v>51</v>
      </c>
      <c r="J324" s="188" t="s">
        <v>6</v>
      </c>
      <c r="K324" s="473"/>
      <c r="L324" s="473"/>
      <c r="M324" s="193" t="s">
        <v>11</v>
      </c>
      <c r="N324" s="458">
        <v>0</v>
      </c>
      <c r="O324" s="470">
        <v>0</v>
      </c>
      <c r="P324" s="470">
        <v>0</v>
      </c>
      <c r="Q324" s="45">
        <v>0</v>
      </c>
      <c r="R324" s="46">
        <v>0</v>
      </c>
      <c r="S324" s="41">
        <v>45865.70045138889</v>
      </c>
      <c r="T324" s="42" t="s">
        <v>41</v>
      </c>
      <c r="U324" s="43" t="s">
        <v>445</v>
      </c>
      <c r="V324" s="34">
        <f t="shared" si="15"/>
        <v>46130.375</v>
      </c>
      <c r="W324" s="471">
        <f t="shared" si="16"/>
        <v>46130.333333333328</v>
      </c>
      <c r="X324" s="35">
        <f t="shared" si="17"/>
        <v>46130.291666666664</v>
      </c>
    </row>
    <row r="325" spans="1:24" ht="21" customHeight="1" thickBot="1">
      <c r="A325" s="290">
        <v>33</v>
      </c>
      <c r="B325" s="172">
        <v>46130</v>
      </c>
      <c r="C325" s="331">
        <v>46130.416666666664</v>
      </c>
      <c r="D325" s="335">
        <v>46130.625</v>
      </c>
      <c r="E325" s="335">
        <v>46130.708333333336</v>
      </c>
      <c r="F325" s="335">
        <v>46130.75</v>
      </c>
      <c r="G325" s="326">
        <v>46130.916666666664</v>
      </c>
      <c r="H325" s="178" t="s">
        <v>226</v>
      </c>
      <c r="I325" s="175" t="s">
        <v>44</v>
      </c>
      <c r="J325" s="188" t="s">
        <v>7</v>
      </c>
      <c r="K325" s="473"/>
      <c r="L325" s="473"/>
      <c r="M325" s="193" t="s">
        <v>14</v>
      </c>
      <c r="N325" s="458">
        <v>0</v>
      </c>
      <c r="O325" s="470">
        <v>0</v>
      </c>
      <c r="P325" s="470">
        <v>0</v>
      </c>
      <c r="Q325" s="45">
        <v>0</v>
      </c>
      <c r="R325" s="46">
        <v>0</v>
      </c>
      <c r="S325" s="41">
        <v>45865.70045138889</v>
      </c>
      <c r="T325" s="42" t="s">
        <v>41</v>
      </c>
      <c r="U325" s="43" t="s">
        <v>445</v>
      </c>
      <c r="V325" s="34">
        <f t="shared" si="15"/>
        <v>46130.375</v>
      </c>
      <c r="W325" s="471">
        <f t="shared" si="16"/>
        <v>46130.333333333328</v>
      </c>
      <c r="X325" s="35">
        <f t="shared" si="17"/>
        <v>46130.291666666664</v>
      </c>
    </row>
    <row r="326" spans="1:24" ht="21" customHeight="1" thickBot="1">
      <c r="A326" s="290">
        <v>33</v>
      </c>
      <c r="B326" s="172">
        <v>46130</v>
      </c>
      <c r="C326" s="331">
        <v>46130.416666666664</v>
      </c>
      <c r="D326" s="335">
        <v>46130.625</v>
      </c>
      <c r="E326" s="335">
        <v>46130.708333333336</v>
      </c>
      <c r="F326" s="335">
        <v>46130.75</v>
      </c>
      <c r="G326" s="326">
        <v>46130.916666666664</v>
      </c>
      <c r="H326" s="178" t="s">
        <v>127</v>
      </c>
      <c r="I326" s="175" t="s">
        <v>452</v>
      </c>
      <c r="J326" s="188" t="s">
        <v>8</v>
      </c>
      <c r="K326" s="473"/>
      <c r="L326" s="473"/>
      <c r="M326" s="193" t="s">
        <v>9</v>
      </c>
      <c r="N326" s="458">
        <v>0</v>
      </c>
      <c r="O326" s="470">
        <v>0</v>
      </c>
      <c r="P326" s="470">
        <v>0</v>
      </c>
      <c r="Q326" s="45">
        <v>0</v>
      </c>
      <c r="R326" s="46">
        <v>0</v>
      </c>
      <c r="S326" s="41">
        <v>45865.70045138889</v>
      </c>
      <c r="T326" s="42" t="s">
        <v>41</v>
      </c>
      <c r="U326" s="43" t="s">
        <v>445</v>
      </c>
      <c r="V326" s="34">
        <f t="shared" si="15"/>
        <v>46130.375</v>
      </c>
      <c r="W326" s="471">
        <f t="shared" si="16"/>
        <v>46130.333333333328</v>
      </c>
      <c r="X326" s="35">
        <f t="shared" si="17"/>
        <v>46130.291666666664</v>
      </c>
    </row>
    <row r="327" spans="1:24" ht="21" customHeight="1" thickBot="1">
      <c r="A327" s="290">
        <v>33</v>
      </c>
      <c r="B327" s="172">
        <v>46130</v>
      </c>
      <c r="C327" s="331">
        <v>46130.416666666664</v>
      </c>
      <c r="D327" s="335">
        <v>46130.625</v>
      </c>
      <c r="E327" s="335">
        <v>46130.708333333336</v>
      </c>
      <c r="F327" s="335">
        <v>46130.75</v>
      </c>
      <c r="G327" s="326">
        <v>46130.916666666664</v>
      </c>
      <c r="H327" s="178" t="s">
        <v>544</v>
      </c>
      <c r="I327" s="175" t="s">
        <v>449</v>
      </c>
      <c r="J327" s="188" t="s">
        <v>444</v>
      </c>
      <c r="K327" s="473"/>
      <c r="L327" s="473"/>
      <c r="M327" s="193" t="s">
        <v>15</v>
      </c>
      <c r="N327" s="458">
        <v>0</v>
      </c>
      <c r="O327" s="470">
        <v>0</v>
      </c>
      <c r="P327" s="470">
        <v>0</v>
      </c>
      <c r="Q327" s="45">
        <v>0</v>
      </c>
      <c r="R327" s="46">
        <v>0</v>
      </c>
      <c r="S327" s="41">
        <v>45865.70045138889</v>
      </c>
      <c r="T327" s="42" t="s">
        <v>41</v>
      </c>
      <c r="U327" s="43" t="s">
        <v>445</v>
      </c>
      <c r="V327" s="34">
        <f t="shared" si="15"/>
        <v>46130.375</v>
      </c>
      <c r="W327" s="471">
        <f t="shared" si="16"/>
        <v>46130.333333333328</v>
      </c>
      <c r="X327" s="35">
        <f t="shared" si="17"/>
        <v>46130.291666666664</v>
      </c>
    </row>
    <row r="328" spans="1:24" ht="21" customHeight="1" thickBot="1">
      <c r="A328" s="290">
        <v>33</v>
      </c>
      <c r="B328" s="172">
        <v>46130</v>
      </c>
      <c r="C328" s="331">
        <v>46130.416666666664</v>
      </c>
      <c r="D328" s="335">
        <v>46130.625</v>
      </c>
      <c r="E328" s="335">
        <v>46130.708333333336</v>
      </c>
      <c r="F328" s="335">
        <v>46130.75</v>
      </c>
      <c r="G328" s="326">
        <v>46130.916666666664</v>
      </c>
      <c r="H328" s="178" t="s">
        <v>249</v>
      </c>
      <c r="I328" s="175" t="s">
        <v>50</v>
      </c>
      <c r="J328" s="188" t="s">
        <v>10</v>
      </c>
      <c r="K328" s="473"/>
      <c r="L328" s="473"/>
      <c r="M328" s="193" t="s">
        <v>1</v>
      </c>
      <c r="N328" s="458">
        <v>0</v>
      </c>
      <c r="O328" s="470">
        <v>0</v>
      </c>
      <c r="P328" s="470">
        <v>0</v>
      </c>
      <c r="Q328" s="45">
        <v>0</v>
      </c>
      <c r="R328" s="46">
        <v>0</v>
      </c>
      <c r="S328" s="41">
        <v>45865.70045138889</v>
      </c>
      <c r="T328" s="42" t="s">
        <v>41</v>
      </c>
      <c r="U328" s="43" t="s">
        <v>445</v>
      </c>
      <c r="V328" s="34">
        <f t="shared" si="15"/>
        <v>46130.375</v>
      </c>
      <c r="W328" s="471">
        <f t="shared" si="16"/>
        <v>46130.333333333328</v>
      </c>
      <c r="X328" s="35">
        <f t="shared" si="17"/>
        <v>46130.291666666664</v>
      </c>
    </row>
    <row r="329" spans="1:24" ht="21" customHeight="1" thickBot="1">
      <c r="A329" s="290">
        <v>33</v>
      </c>
      <c r="B329" s="172">
        <v>46130</v>
      </c>
      <c r="C329" s="331">
        <v>46130.416666666664</v>
      </c>
      <c r="D329" s="335">
        <v>46130.625</v>
      </c>
      <c r="E329" s="335">
        <v>46130.708333333336</v>
      </c>
      <c r="F329" s="335">
        <v>46130.75</v>
      </c>
      <c r="G329" s="326">
        <v>46130.916666666664</v>
      </c>
      <c r="H329" s="178" t="s">
        <v>339</v>
      </c>
      <c r="I329" s="175" t="s">
        <v>46</v>
      </c>
      <c r="J329" s="188" t="s">
        <v>12</v>
      </c>
      <c r="K329" s="473"/>
      <c r="L329" s="473"/>
      <c r="M329" s="193" t="s">
        <v>3</v>
      </c>
      <c r="N329" s="458">
        <v>0</v>
      </c>
      <c r="O329" s="470">
        <v>0</v>
      </c>
      <c r="P329" s="470">
        <v>0</v>
      </c>
      <c r="Q329" s="45">
        <v>0</v>
      </c>
      <c r="R329" s="46">
        <v>0</v>
      </c>
      <c r="S329" s="41">
        <v>45865.70045138889</v>
      </c>
      <c r="T329" s="42" t="s">
        <v>41</v>
      </c>
      <c r="U329" s="43" t="s">
        <v>445</v>
      </c>
      <c r="V329" s="34">
        <f t="shared" si="15"/>
        <v>46130.375</v>
      </c>
      <c r="W329" s="471">
        <f t="shared" si="16"/>
        <v>46130.333333333328</v>
      </c>
      <c r="X329" s="35">
        <f t="shared" si="17"/>
        <v>46130.291666666664</v>
      </c>
    </row>
    <row r="330" spans="1:24" ht="21" customHeight="1" thickBot="1">
      <c r="A330" s="290">
        <v>33</v>
      </c>
      <c r="B330" s="172">
        <v>46130</v>
      </c>
      <c r="C330" s="331">
        <v>46130.416666666664</v>
      </c>
      <c r="D330" s="335">
        <v>46130.625</v>
      </c>
      <c r="E330" s="335">
        <v>46130.708333333336</v>
      </c>
      <c r="F330" s="335">
        <v>46130.75</v>
      </c>
      <c r="G330" s="326">
        <v>46130.916666666664</v>
      </c>
      <c r="H330" s="178" t="s">
        <v>506</v>
      </c>
      <c r="I330" s="175" t="s">
        <v>158</v>
      </c>
      <c r="J330" s="188" t="s">
        <v>188</v>
      </c>
      <c r="K330" s="473"/>
      <c r="L330" s="473"/>
      <c r="M330" s="193" t="s">
        <v>5</v>
      </c>
      <c r="N330" s="458">
        <v>0</v>
      </c>
      <c r="O330" s="470">
        <v>0</v>
      </c>
      <c r="P330" s="470">
        <v>0</v>
      </c>
      <c r="Q330" s="45">
        <v>0</v>
      </c>
      <c r="R330" s="46">
        <v>0</v>
      </c>
      <c r="S330" s="41">
        <v>45865.70045138889</v>
      </c>
      <c r="T330" s="42" t="s">
        <v>41</v>
      </c>
      <c r="U330" s="43" t="s">
        <v>445</v>
      </c>
      <c r="V330" s="34">
        <f t="shared" si="15"/>
        <v>46130.375</v>
      </c>
      <c r="W330" s="471">
        <f t="shared" si="16"/>
        <v>46130.333333333328</v>
      </c>
      <c r="X330" s="35">
        <f t="shared" si="17"/>
        <v>46130.291666666664</v>
      </c>
    </row>
    <row r="331" spans="1:24" ht="21" customHeight="1" thickBot="1">
      <c r="A331" s="290">
        <v>33</v>
      </c>
      <c r="B331" s="172">
        <v>46130</v>
      </c>
      <c r="C331" s="331">
        <v>46130.416666666664</v>
      </c>
      <c r="D331" s="335">
        <v>46130.625</v>
      </c>
      <c r="E331" s="335">
        <v>46130.708333333336</v>
      </c>
      <c r="F331" s="335">
        <v>46130.75</v>
      </c>
      <c r="G331" s="326">
        <v>46130.916666666664</v>
      </c>
      <c r="H331" s="178" t="s">
        <v>433</v>
      </c>
      <c r="I331" s="175" t="s">
        <v>45</v>
      </c>
      <c r="J331" s="188" t="s">
        <v>13</v>
      </c>
      <c r="K331" s="473"/>
      <c r="L331" s="473"/>
      <c r="M331" s="193" t="s">
        <v>4</v>
      </c>
      <c r="N331" s="458">
        <v>0</v>
      </c>
      <c r="O331" s="470">
        <v>0</v>
      </c>
      <c r="P331" s="470">
        <v>0</v>
      </c>
      <c r="Q331" s="45">
        <v>0</v>
      </c>
      <c r="R331" s="46">
        <v>0</v>
      </c>
      <c r="S331" s="41">
        <v>45865.70045138889</v>
      </c>
      <c r="T331" s="42" t="s">
        <v>41</v>
      </c>
      <c r="U331" s="43" t="s">
        <v>445</v>
      </c>
      <c r="V331" s="34">
        <f t="shared" si="15"/>
        <v>46130.375</v>
      </c>
      <c r="W331" s="471">
        <f t="shared" si="16"/>
        <v>46130.333333333328</v>
      </c>
      <c r="X331" s="35">
        <f t="shared" si="17"/>
        <v>46130.291666666664</v>
      </c>
    </row>
    <row r="332" spans="1:24" ht="21" customHeight="1" thickBot="1">
      <c r="A332" s="289">
        <v>34</v>
      </c>
      <c r="B332" s="171">
        <v>46137</v>
      </c>
      <c r="C332" s="330">
        <v>46137.416666666664</v>
      </c>
      <c r="D332" s="334">
        <v>46137.625</v>
      </c>
      <c r="E332" s="334">
        <v>46137.708333333336</v>
      </c>
      <c r="F332" s="334">
        <v>46137.75</v>
      </c>
      <c r="G332" s="325">
        <v>46137.916666666664</v>
      </c>
      <c r="H332" s="177" t="s">
        <v>422</v>
      </c>
      <c r="I332" s="174" t="s">
        <v>48</v>
      </c>
      <c r="J332" s="187" t="s">
        <v>1</v>
      </c>
      <c r="K332" s="473"/>
      <c r="L332" s="473"/>
      <c r="M332" s="192" t="s">
        <v>12</v>
      </c>
      <c r="N332" s="456">
        <v>0</v>
      </c>
      <c r="O332" s="457">
        <v>0</v>
      </c>
      <c r="P332" s="457">
        <v>0</v>
      </c>
      <c r="Q332" s="39">
        <v>0</v>
      </c>
      <c r="R332" s="40">
        <v>0</v>
      </c>
      <c r="S332" s="36">
        <v>45865.70045138889</v>
      </c>
      <c r="T332" s="37" t="s">
        <v>41</v>
      </c>
      <c r="U332" s="38" t="s">
        <v>445</v>
      </c>
      <c r="V332" s="56">
        <f t="shared" si="15"/>
        <v>46137.375</v>
      </c>
      <c r="W332" s="57">
        <f t="shared" si="16"/>
        <v>46137.333333333328</v>
      </c>
      <c r="X332" s="58">
        <f t="shared" si="17"/>
        <v>46137.291666666664</v>
      </c>
    </row>
    <row r="333" spans="1:24" ht="21" customHeight="1" thickBot="1">
      <c r="A333" s="290">
        <v>34</v>
      </c>
      <c r="B333" s="172">
        <v>46137</v>
      </c>
      <c r="C333" s="331">
        <v>46137.416666666664</v>
      </c>
      <c r="D333" s="335">
        <v>46137.625</v>
      </c>
      <c r="E333" s="335">
        <v>46137.708333333336</v>
      </c>
      <c r="F333" s="335">
        <v>46137.75</v>
      </c>
      <c r="G333" s="326">
        <v>46137.916666666664</v>
      </c>
      <c r="H333" s="178" t="s">
        <v>545</v>
      </c>
      <c r="I333" s="175" t="s">
        <v>43</v>
      </c>
      <c r="J333" s="188" t="s">
        <v>3</v>
      </c>
      <c r="K333" s="473"/>
      <c r="L333" s="473"/>
      <c r="M333" s="193" t="s">
        <v>444</v>
      </c>
      <c r="N333" s="458">
        <v>0</v>
      </c>
      <c r="O333" s="470">
        <v>0</v>
      </c>
      <c r="P333" s="470">
        <v>0</v>
      </c>
      <c r="Q333" s="45">
        <v>0</v>
      </c>
      <c r="R333" s="46">
        <v>0</v>
      </c>
      <c r="S333" s="41">
        <v>45865.70045138889</v>
      </c>
      <c r="T333" s="42" t="s">
        <v>41</v>
      </c>
      <c r="U333" s="43" t="s">
        <v>445</v>
      </c>
      <c r="V333" s="34">
        <f t="shared" si="15"/>
        <v>46137.375</v>
      </c>
      <c r="W333" s="471">
        <f t="shared" si="16"/>
        <v>46137.333333333328</v>
      </c>
      <c r="X333" s="35">
        <f t="shared" si="17"/>
        <v>46137.291666666664</v>
      </c>
    </row>
    <row r="334" spans="1:24" ht="21" customHeight="1" thickBot="1">
      <c r="A334" s="290">
        <v>34</v>
      </c>
      <c r="B334" s="172">
        <v>46137</v>
      </c>
      <c r="C334" s="331">
        <v>46137.416666666664</v>
      </c>
      <c r="D334" s="335">
        <v>46137.625</v>
      </c>
      <c r="E334" s="335">
        <v>46137.708333333336</v>
      </c>
      <c r="F334" s="335">
        <v>46137.75</v>
      </c>
      <c r="G334" s="326">
        <v>46137.916666666664</v>
      </c>
      <c r="H334" s="178" t="s">
        <v>358</v>
      </c>
      <c r="I334" s="175" t="s">
        <v>217</v>
      </c>
      <c r="J334" s="188" t="s">
        <v>4</v>
      </c>
      <c r="K334" s="473"/>
      <c r="L334" s="473"/>
      <c r="M334" s="193" t="s">
        <v>6</v>
      </c>
      <c r="N334" s="458">
        <v>0</v>
      </c>
      <c r="O334" s="470">
        <v>0</v>
      </c>
      <c r="P334" s="470">
        <v>0</v>
      </c>
      <c r="Q334" s="45">
        <v>0</v>
      </c>
      <c r="R334" s="46">
        <v>0</v>
      </c>
      <c r="S334" s="41">
        <v>45865.70045138889</v>
      </c>
      <c r="T334" s="42" t="s">
        <v>41</v>
      </c>
      <c r="U334" s="43" t="s">
        <v>445</v>
      </c>
      <c r="V334" s="34">
        <f t="shared" si="15"/>
        <v>46137.375</v>
      </c>
      <c r="W334" s="471">
        <f t="shared" si="16"/>
        <v>46137.333333333328</v>
      </c>
      <c r="X334" s="35">
        <f t="shared" si="17"/>
        <v>46137.291666666664</v>
      </c>
    </row>
    <row r="335" spans="1:24" ht="21" customHeight="1" thickBot="1">
      <c r="A335" s="290">
        <v>34</v>
      </c>
      <c r="B335" s="172">
        <v>46137</v>
      </c>
      <c r="C335" s="331">
        <v>46137.416666666664</v>
      </c>
      <c r="D335" s="335">
        <v>46137.625</v>
      </c>
      <c r="E335" s="335">
        <v>46137.708333333336</v>
      </c>
      <c r="F335" s="335">
        <v>46137.75</v>
      </c>
      <c r="G335" s="326">
        <v>46137.916666666664</v>
      </c>
      <c r="H335" s="178" t="s">
        <v>507</v>
      </c>
      <c r="I335" s="175" t="s">
        <v>451</v>
      </c>
      <c r="J335" s="188" t="s">
        <v>5</v>
      </c>
      <c r="K335" s="473"/>
      <c r="L335" s="473"/>
      <c r="M335" s="193" t="s">
        <v>10</v>
      </c>
      <c r="N335" s="458">
        <v>0</v>
      </c>
      <c r="O335" s="470">
        <v>0</v>
      </c>
      <c r="P335" s="470">
        <v>0</v>
      </c>
      <c r="Q335" s="45">
        <v>0</v>
      </c>
      <c r="R335" s="46">
        <v>0</v>
      </c>
      <c r="S335" s="41">
        <v>45865.70045138889</v>
      </c>
      <c r="T335" s="42" t="s">
        <v>41</v>
      </c>
      <c r="U335" s="43" t="s">
        <v>445</v>
      </c>
      <c r="V335" s="34">
        <f t="shared" si="15"/>
        <v>46137.375</v>
      </c>
      <c r="W335" s="471">
        <f t="shared" si="16"/>
        <v>46137.333333333328</v>
      </c>
      <c r="X335" s="35">
        <f t="shared" si="17"/>
        <v>46137.291666666664</v>
      </c>
    </row>
    <row r="336" spans="1:24" ht="21" customHeight="1" thickBot="1">
      <c r="A336" s="290">
        <v>34</v>
      </c>
      <c r="B336" s="172">
        <v>46137</v>
      </c>
      <c r="C336" s="331">
        <v>46137.416666666664</v>
      </c>
      <c r="D336" s="335">
        <v>46137.625</v>
      </c>
      <c r="E336" s="335">
        <v>46137.708333333336</v>
      </c>
      <c r="F336" s="335">
        <v>46137.75</v>
      </c>
      <c r="G336" s="326">
        <v>46137.916666666664</v>
      </c>
      <c r="H336" s="178" t="s">
        <v>162</v>
      </c>
      <c r="I336" s="175" t="s">
        <v>157</v>
      </c>
      <c r="J336" s="188" t="s">
        <v>108</v>
      </c>
      <c r="K336" s="473"/>
      <c r="L336" s="473"/>
      <c r="M336" s="193" t="s">
        <v>2</v>
      </c>
      <c r="N336" s="458">
        <v>0</v>
      </c>
      <c r="O336" s="470">
        <v>0</v>
      </c>
      <c r="P336" s="470">
        <v>0</v>
      </c>
      <c r="Q336" s="45">
        <v>0</v>
      </c>
      <c r="R336" s="46">
        <v>0</v>
      </c>
      <c r="S336" s="41">
        <v>45865.70045138889</v>
      </c>
      <c r="T336" s="42" t="s">
        <v>41</v>
      </c>
      <c r="U336" s="43" t="s">
        <v>445</v>
      </c>
      <c r="V336" s="34">
        <f t="shared" si="15"/>
        <v>46137.375</v>
      </c>
      <c r="W336" s="471">
        <f t="shared" si="16"/>
        <v>46137.333333333328</v>
      </c>
      <c r="X336" s="35">
        <f t="shared" si="17"/>
        <v>46137.291666666664</v>
      </c>
    </row>
    <row r="337" spans="1:24" ht="21" customHeight="1" thickBot="1">
      <c r="A337" s="290">
        <v>34</v>
      </c>
      <c r="B337" s="172">
        <v>46137</v>
      </c>
      <c r="C337" s="331">
        <v>46137.416666666664</v>
      </c>
      <c r="D337" s="335">
        <v>46137.625</v>
      </c>
      <c r="E337" s="335">
        <v>46137.708333333336</v>
      </c>
      <c r="F337" s="335">
        <v>46137.75</v>
      </c>
      <c r="G337" s="326">
        <v>46137.916666666664</v>
      </c>
      <c r="H337" s="178" t="s">
        <v>119</v>
      </c>
      <c r="I337" s="175" t="s">
        <v>40</v>
      </c>
      <c r="J337" s="188" t="s">
        <v>9</v>
      </c>
      <c r="K337" s="473"/>
      <c r="L337" s="473"/>
      <c r="M337" s="193" t="s">
        <v>7</v>
      </c>
      <c r="N337" s="458">
        <v>0</v>
      </c>
      <c r="O337" s="470">
        <v>0</v>
      </c>
      <c r="P337" s="470">
        <v>0</v>
      </c>
      <c r="Q337" s="45">
        <v>0</v>
      </c>
      <c r="R337" s="46">
        <v>0</v>
      </c>
      <c r="S337" s="41">
        <v>45865.70045138889</v>
      </c>
      <c r="T337" s="42" t="s">
        <v>41</v>
      </c>
      <c r="U337" s="43" t="s">
        <v>445</v>
      </c>
      <c r="V337" s="34">
        <f t="shared" si="15"/>
        <v>46137.375</v>
      </c>
      <c r="W337" s="471">
        <f t="shared" si="16"/>
        <v>46137.333333333328</v>
      </c>
      <c r="X337" s="35">
        <f t="shared" si="17"/>
        <v>46137.291666666664</v>
      </c>
    </row>
    <row r="338" spans="1:24" ht="21" customHeight="1" thickBot="1">
      <c r="A338" s="290">
        <v>34</v>
      </c>
      <c r="B338" s="172">
        <v>46137</v>
      </c>
      <c r="C338" s="331">
        <v>46137.416666666664</v>
      </c>
      <c r="D338" s="335">
        <v>46137.625</v>
      </c>
      <c r="E338" s="335">
        <v>46137.708333333336</v>
      </c>
      <c r="F338" s="335">
        <v>46137.75</v>
      </c>
      <c r="G338" s="326">
        <v>46137.916666666664</v>
      </c>
      <c r="H338" s="178" t="s">
        <v>263</v>
      </c>
      <c r="I338" s="175" t="s">
        <v>47</v>
      </c>
      <c r="J338" s="188" t="s">
        <v>11</v>
      </c>
      <c r="K338" s="473"/>
      <c r="L338" s="473"/>
      <c r="M338" s="193" t="s">
        <v>107</v>
      </c>
      <c r="N338" s="458">
        <v>0</v>
      </c>
      <c r="O338" s="470">
        <v>0</v>
      </c>
      <c r="P338" s="470">
        <v>0</v>
      </c>
      <c r="Q338" s="45">
        <v>0</v>
      </c>
      <c r="R338" s="46">
        <v>0</v>
      </c>
      <c r="S338" s="41">
        <v>45865.70045138889</v>
      </c>
      <c r="T338" s="42" t="s">
        <v>41</v>
      </c>
      <c r="U338" s="43" t="s">
        <v>445</v>
      </c>
      <c r="V338" s="34">
        <f t="shared" si="15"/>
        <v>46137.375</v>
      </c>
      <c r="W338" s="471">
        <f t="shared" si="16"/>
        <v>46137.333333333328</v>
      </c>
      <c r="X338" s="35">
        <f t="shared" si="17"/>
        <v>46137.291666666664</v>
      </c>
    </row>
    <row r="339" spans="1:24" ht="21" customHeight="1" thickBot="1">
      <c r="A339" s="290">
        <v>34</v>
      </c>
      <c r="B339" s="172">
        <v>46137</v>
      </c>
      <c r="C339" s="331">
        <v>46137.416666666664</v>
      </c>
      <c r="D339" s="335">
        <v>46137.625</v>
      </c>
      <c r="E339" s="335">
        <v>46137.708333333336</v>
      </c>
      <c r="F339" s="335">
        <v>46137.75</v>
      </c>
      <c r="G339" s="326">
        <v>46137.916666666664</v>
      </c>
      <c r="H339" s="178" t="s">
        <v>508</v>
      </c>
      <c r="I339" s="175" t="s">
        <v>448</v>
      </c>
      <c r="J339" s="188" t="s">
        <v>443</v>
      </c>
      <c r="K339" s="473"/>
      <c r="L339" s="473"/>
      <c r="M339" s="193" t="s">
        <v>188</v>
      </c>
      <c r="N339" s="458">
        <v>0</v>
      </c>
      <c r="O339" s="470">
        <v>0</v>
      </c>
      <c r="P339" s="470">
        <v>0</v>
      </c>
      <c r="Q339" s="45">
        <v>0</v>
      </c>
      <c r="R339" s="46">
        <v>0</v>
      </c>
      <c r="S339" s="41">
        <v>45865.70045138889</v>
      </c>
      <c r="T339" s="42" t="s">
        <v>41</v>
      </c>
      <c r="U339" s="43" t="s">
        <v>445</v>
      </c>
      <c r="V339" s="34">
        <f t="shared" si="15"/>
        <v>46137.375</v>
      </c>
      <c r="W339" s="471">
        <f t="shared" si="16"/>
        <v>46137.333333333328</v>
      </c>
      <c r="X339" s="35">
        <f t="shared" si="17"/>
        <v>46137.291666666664</v>
      </c>
    </row>
    <row r="340" spans="1:24" ht="21" customHeight="1" thickBot="1">
      <c r="A340" s="290">
        <v>34</v>
      </c>
      <c r="B340" s="172">
        <v>46137</v>
      </c>
      <c r="C340" s="331">
        <v>46137.416666666664</v>
      </c>
      <c r="D340" s="335">
        <v>46137.625</v>
      </c>
      <c r="E340" s="335">
        <v>46137.708333333336</v>
      </c>
      <c r="F340" s="335">
        <v>46137.75</v>
      </c>
      <c r="G340" s="326">
        <v>46137.916666666664</v>
      </c>
      <c r="H340" s="178" t="s">
        <v>281</v>
      </c>
      <c r="I340" s="175" t="s">
        <v>42</v>
      </c>
      <c r="J340" s="188" t="s">
        <v>14</v>
      </c>
      <c r="K340" s="473"/>
      <c r="L340" s="473"/>
      <c r="M340" s="193" t="s">
        <v>8</v>
      </c>
      <c r="N340" s="458">
        <v>0</v>
      </c>
      <c r="O340" s="470">
        <v>0</v>
      </c>
      <c r="P340" s="470">
        <v>0</v>
      </c>
      <c r="Q340" s="45">
        <v>0</v>
      </c>
      <c r="R340" s="46">
        <v>0</v>
      </c>
      <c r="S340" s="41">
        <v>45865.70045138889</v>
      </c>
      <c r="T340" s="42" t="s">
        <v>41</v>
      </c>
      <c r="U340" s="43" t="s">
        <v>445</v>
      </c>
      <c r="V340" s="34">
        <f t="shared" si="15"/>
        <v>46137.375</v>
      </c>
      <c r="W340" s="471">
        <f t="shared" si="16"/>
        <v>46137.333333333328</v>
      </c>
      <c r="X340" s="35">
        <f t="shared" si="17"/>
        <v>46137.291666666664</v>
      </c>
    </row>
    <row r="341" spans="1:24" ht="21" customHeight="1" thickBot="1">
      <c r="A341" s="290">
        <v>34</v>
      </c>
      <c r="B341" s="172">
        <v>46137</v>
      </c>
      <c r="C341" s="331">
        <v>46137.416666666664</v>
      </c>
      <c r="D341" s="335">
        <v>46137.625</v>
      </c>
      <c r="E341" s="335">
        <v>46137.708333333336</v>
      </c>
      <c r="F341" s="335">
        <v>46137.75</v>
      </c>
      <c r="G341" s="326">
        <v>46137.916666666664</v>
      </c>
      <c r="H341" s="178" t="s">
        <v>399</v>
      </c>
      <c r="I341" s="175" t="s">
        <v>52</v>
      </c>
      <c r="J341" s="188" t="s">
        <v>15</v>
      </c>
      <c r="K341" s="473"/>
      <c r="L341" s="473"/>
      <c r="M341" s="193" t="s">
        <v>13</v>
      </c>
      <c r="N341" s="458">
        <v>0</v>
      </c>
      <c r="O341" s="470">
        <v>0</v>
      </c>
      <c r="P341" s="470">
        <v>0</v>
      </c>
      <c r="Q341" s="45">
        <v>0</v>
      </c>
      <c r="R341" s="46">
        <v>0</v>
      </c>
      <c r="S341" s="41">
        <v>45865.70045138889</v>
      </c>
      <c r="T341" s="42" t="s">
        <v>41</v>
      </c>
      <c r="U341" s="43" t="s">
        <v>445</v>
      </c>
      <c r="V341" s="34">
        <f t="shared" si="15"/>
        <v>46137.375</v>
      </c>
      <c r="W341" s="471">
        <f t="shared" si="16"/>
        <v>46137.333333333328</v>
      </c>
      <c r="X341" s="35">
        <f t="shared" si="17"/>
        <v>46137.291666666664</v>
      </c>
    </row>
    <row r="342" spans="1:24" ht="21" customHeight="1" thickBot="1">
      <c r="A342" s="289">
        <v>35</v>
      </c>
      <c r="B342" s="171">
        <v>46144</v>
      </c>
      <c r="C342" s="330">
        <v>46144.416666666664</v>
      </c>
      <c r="D342" s="334">
        <v>46144.625</v>
      </c>
      <c r="E342" s="334">
        <v>46144.708333333336</v>
      </c>
      <c r="F342" s="334">
        <v>46144.75</v>
      </c>
      <c r="G342" s="325">
        <v>46144.916666666664</v>
      </c>
      <c r="H342" s="177" t="s">
        <v>160</v>
      </c>
      <c r="I342" s="174" t="s">
        <v>48</v>
      </c>
      <c r="J342" s="187" t="s">
        <v>1</v>
      </c>
      <c r="K342" s="473"/>
      <c r="L342" s="473"/>
      <c r="M342" s="192" t="s">
        <v>108</v>
      </c>
      <c r="N342" s="456">
        <v>0</v>
      </c>
      <c r="O342" s="457">
        <v>0</v>
      </c>
      <c r="P342" s="457">
        <v>0</v>
      </c>
      <c r="Q342" s="39">
        <v>0</v>
      </c>
      <c r="R342" s="40">
        <v>0</v>
      </c>
      <c r="S342" s="36">
        <v>45865.70045138889</v>
      </c>
      <c r="T342" s="37" t="s">
        <v>41</v>
      </c>
      <c r="U342" s="38" t="s">
        <v>445</v>
      </c>
      <c r="V342" s="56">
        <f t="shared" si="15"/>
        <v>46144.375</v>
      </c>
      <c r="W342" s="57">
        <f t="shared" si="16"/>
        <v>46144.333333333328</v>
      </c>
      <c r="X342" s="58">
        <f t="shared" si="17"/>
        <v>46144.291666666664</v>
      </c>
    </row>
    <row r="343" spans="1:24" ht="21" customHeight="1" thickBot="1">
      <c r="A343" s="290">
        <v>35</v>
      </c>
      <c r="B343" s="172">
        <v>46144</v>
      </c>
      <c r="C343" s="331">
        <v>46144.416666666664</v>
      </c>
      <c r="D343" s="335">
        <v>46144.625</v>
      </c>
      <c r="E343" s="335">
        <v>46144.708333333336</v>
      </c>
      <c r="F343" s="335">
        <v>46144.75</v>
      </c>
      <c r="G343" s="326">
        <v>46144.916666666664</v>
      </c>
      <c r="H343" s="178" t="s">
        <v>423</v>
      </c>
      <c r="I343" s="175" t="s">
        <v>49</v>
      </c>
      <c r="J343" s="188" t="s">
        <v>2</v>
      </c>
      <c r="K343" s="473"/>
      <c r="L343" s="473"/>
      <c r="M343" s="193" t="s">
        <v>13</v>
      </c>
      <c r="N343" s="458">
        <v>0</v>
      </c>
      <c r="O343" s="470">
        <v>0</v>
      </c>
      <c r="P343" s="470">
        <v>0</v>
      </c>
      <c r="Q343" s="45">
        <v>0</v>
      </c>
      <c r="R343" s="46">
        <v>0</v>
      </c>
      <c r="S343" s="41">
        <v>45865.70045138889</v>
      </c>
      <c r="T343" s="42" t="s">
        <v>41</v>
      </c>
      <c r="U343" s="43" t="s">
        <v>445</v>
      </c>
      <c r="V343" s="34">
        <f t="shared" si="15"/>
        <v>46144.375</v>
      </c>
      <c r="W343" s="471">
        <f t="shared" si="16"/>
        <v>46144.333333333328</v>
      </c>
      <c r="X343" s="35">
        <f t="shared" si="17"/>
        <v>46144.291666666664</v>
      </c>
    </row>
    <row r="344" spans="1:24" ht="21" customHeight="1" thickBot="1">
      <c r="A344" s="290">
        <v>35</v>
      </c>
      <c r="B344" s="172">
        <v>46144</v>
      </c>
      <c r="C344" s="331">
        <v>46144.416666666664</v>
      </c>
      <c r="D344" s="335">
        <v>46144.625</v>
      </c>
      <c r="E344" s="335">
        <v>46144.708333333336</v>
      </c>
      <c r="F344" s="335">
        <v>46144.75</v>
      </c>
      <c r="G344" s="326">
        <v>46144.916666666664</v>
      </c>
      <c r="H344" s="178" t="s">
        <v>316</v>
      </c>
      <c r="I344" s="175" t="s">
        <v>43</v>
      </c>
      <c r="J344" s="188" t="s">
        <v>3</v>
      </c>
      <c r="K344" s="473"/>
      <c r="L344" s="473"/>
      <c r="M344" s="193" t="s">
        <v>7</v>
      </c>
      <c r="N344" s="458">
        <v>0</v>
      </c>
      <c r="O344" s="470">
        <v>0</v>
      </c>
      <c r="P344" s="470">
        <v>0</v>
      </c>
      <c r="Q344" s="45">
        <v>0</v>
      </c>
      <c r="R344" s="46">
        <v>0</v>
      </c>
      <c r="S344" s="41">
        <v>45865.70045138889</v>
      </c>
      <c r="T344" s="42" t="s">
        <v>41</v>
      </c>
      <c r="U344" s="43" t="s">
        <v>445</v>
      </c>
      <c r="V344" s="34">
        <f t="shared" si="15"/>
        <v>46144.375</v>
      </c>
      <c r="W344" s="471">
        <f t="shared" si="16"/>
        <v>46144.333333333328</v>
      </c>
      <c r="X344" s="35">
        <f t="shared" si="17"/>
        <v>46144.291666666664</v>
      </c>
    </row>
    <row r="345" spans="1:24" ht="21" customHeight="1" thickBot="1">
      <c r="A345" s="290">
        <v>35</v>
      </c>
      <c r="B345" s="172">
        <v>46144</v>
      </c>
      <c r="C345" s="331">
        <v>46144.416666666664</v>
      </c>
      <c r="D345" s="335">
        <v>46144.625</v>
      </c>
      <c r="E345" s="335">
        <v>46144.708333333336</v>
      </c>
      <c r="F345" s="335">
        <v>46144.75</v>
      </c>
      <c r="G345" s="326">
        <v>46144.916666666664</v>
      </c>
      <c r="H345" s="178" t="s">
        <v>251</v>
      </c>
      <c r="I345" s="175" t="s">
        <v>172</v>
      </c>
      <c r="J345" s="188" t="s">
        <v>107</v>
      </c>
      <c r="K345" s="473"/>
      <c r="L345" s="473"/>
      <c r="M345" s="193" t="s">
        <v>14</v>
      </c>
      <c r="N345" s="458">
        <v>0</v>
      </c>
      <c r="O345" s="470">
        <v>0</v>
      </c>
      <c r="P345" s="470">
        <v>0</v>
      </c>
      <c r="Q345" s="45">
        <v>0</v>
      </c>
      <c r="R345" s="46">
        <v>0</v>
      </c>
      <c r="S345" s="41">
        <v>45865.70045138889</v>
      </c>
      <c r="T345" s="42" t="s">
        <v>41</v>
      </c>
      <c r="U345" s="43" t="s">
        <v>445</v>
      </c>
      <c r="V345" s="34">
        <f t="shared" si="15"/>
        <v>46144.375</v>
      </c>
      <c r="W345" s="471">
        <f t="shared" si="16"/>
        <v>46144.333333333328</v>
      </c>
      <c r="X345" s="35">
        <f t="shared" si="17"/>
        <v>46144.291666666664</v>
      </c>
    </row>
    <row r="346" spans="1:24" ht="21" customHeight="1" thickBot="1">
      <c r="A346" s="290">
        <v>35</v>
      </c>
      <c r="B346" s="172">
        <v>46144</v>
      </c>
      <c r="C346" s="331">
        <v>46144.416666666664</v>
      </c>
      <c r="D346" s="335">
        <v>46144.625</v>
      </c>
      <c r="E346" s="335">
        <v>46144.708333333336</v>
      </c>
      <c r="F346" s="335">
        <v>46144.75</v>
      </c>
      <c r="G346" s="326">
        <v>46144.916666666664</v>
      </c>
      <c r="H346" s="178" t="s">
        <v>260</v>
      </c>
      <c r="I346" s="175" t="s">
        <v>51</v>
      </c>
      <c r="J346" s="188" t="s">
        <v>6</v>
      </c>
      <c r="K346" s="473"/>
      <c r="L346" s="473"/>
      <c r="M346" s="193" t="s">
        <v>188</v>
      </c>
      <c r="N346" s="458">
        <v>0</v>
      </c>
      <c r="O346" s="470">
        <v>0</v>
      </c>
      <c r="P346" s="470">
        <v>0</v>
      </c>
      <c r="Q346" s="45">
        <v>0</v>
      </c>
      <c r="R346" s="46">
        <v>0</v>
      </c>
      <c r="S346" s="41">
        <v>45865.70045138889</v>
      </c>
      <c r="T346" s="42" t="s">
        <v>41</v>
      </c>
      <c r="U346" s="43" t="s">
        <v>445</v>
      </c>
      <c r="V346" s="34">
        <f t="shared" si="15"/>
        <v>46144.375</v>
      </c>
      <c r="W346" s="471">
        <f t="shared" si="16"/>
        <v>46144.333333333328</v>
      </c>
      <c r="X346" s="35">
        <f t="shared" si="17"/>
        <v>46144.291666666664</v>
      </c>
    </row>
    <row r="347" spans="1:24" ht="21" customHeight="1" thickBot="1">
      <c r="A347" s="290">
        <v>35</v>
      </c>
      <c r="B347" s="172">
        <v>46144</v>
      </c>
      <c r="C347" s="331">
        <v>46144.416666666664</v>
      </c>
      <c r="D347" s="335">
        <v>46144.625</v>
      </c>
      <c r="E347" s="335">
        <v>46144.708333333336</v>
      </c>
      <c r="F347" s="335">
        <v>46144.75</v>
      </c>
      <c r="G347" s="326">
        <v>46144.916666666664</v>
      </c>
      <c r="H347" s="178" t="s">
        <v>403</v>
      </c>
      <c r="I347" s="175" t="s">
        <v>452</v>
      </c>
      <c r="J347" s="188" t="s">
        <v>8</v>
      </c>
      <c r="K347" s="473"/>
      <c r="L347" s="473"/>
      <c r="M347" s="193" t="s">
        <v>10</v>
      </c>
      <c r="N347" s="458">
        <v>0</v>
      </c>
      <c r="O347" s="470">
        <v>0</v>
      </c>
      <c r="P347" s="470">
        <v>0</v>
      </c>
      <c r="Q347" s="45">
        <v>0</v>
      </c>
      <c r="R347" s="46">
        <v>0</v>
      </c>
      <c r="S347" s="41">
        <v>45865.70045138889</v>
      </c>
      <c r="T347" s="42" t="s">
        <v>41</v>
      </c>
      <c r="U347" s="43" t="s">
        <v>445</v>
      </c>
      <c r="V347" s="34">
        <f t="shared" si="15"/>
        <v>46144.375</v>
      </c>
      <c r="W347" s="471">
        <f t="shared" si="16"/>
        <v>46144.333333333328</v>
      </c>
      <c r="X347" s="35">
        <f t="shared" si="17"/>
        <v>46144.291666666664</v>
      </c>
    </row>
    <row r="348" spans="1:24" ht="21" customHeight="1" thickBot="1">
      <c r="A348" s="290">
        <v>35</v>
      </c>
      <c r="B348" s="172">
        <v>46144</v>
      </c>
      <c r="C348" s="331">
        <v>46144.416666666664</v>
      </c>
      <c r="D348" s="335">
        <v>46144.625</v>
      </c>
      <c r="E348" s="335">
        <v>46144.708333333336</v>
      </c>
      <c r="F348" s="335">
        <v>46144.75</v>
      </c>
      <c r="G348" s="326">
        <v>46144.916666666664</v>
      </c>
      <c r="H348" s="178" t="s">
        <v>546</v>
      </c>
      <c r="I348" s="175" t="s">
        <v>449</v>
      </c>
      <c r="J348" s="188" t="s">
        <v>444</v>
      </c>
      <c r="K348" s="473"/>
      <c r="L348" s="473"/>
      <c r="M348" s="193" t="s">
        <v>5</v>
      </c>
      <c r="N348" s="458">
        <v>0</v>
      </c>
      <c r="O348" s="470">
        <v>0</v>
      </c>
      <c r="P348" s="470">
        <v>0</v>
      </c>
      <c r="Q348" s="45">
        <v>0</v>
      </c>
      <c r="R348" s="46">
        <v>0</v>
      </c>
      <c r="S348" s="41">
        <v>45865.70045138889</v>
      </c>
      <c r="T348" s="42" t="s">
        <v>41</v>
      </c>
      <c r="U348" s="43" t="s">
        <v>445</v>
      </c>
      <c r="V348" s="34">
        <f t="shared" si="15"/>
        <v>46144.375</v>
      </c>
      <c r="W348" s="471">
        <f t="shared" si="16"/>
        <v>46144.333333333328</v>
      </c>
      <c r="X348" s="35">
        <f t="shared" si="17"/>
        <v>46144.291666666664</v>
      </c>
    </row>
    <row r="349" spans="1:24" ht="21" customHeight="1" thickBot="1">
      <c r="A349" s="290">
        <v>35</v>
      </c>
      <c r="B349" s="172">
        <v>46144</v>
      </c>
      <c r="C349" s="331">
        <v>46144.416666666664</v>
      </c>
      <c r="D349" s="335">
        <v>46144.625</v>
      </c>
      <c r="E349" s="335">
        <v>46144.708333333336</v>
      </c>
      <c r="F349" s="335">
        <v>46144.75</v>
      </c>
      <c r="G349" s="326">
        <v>46144.916666666664</v>
      </c>
      <c r="H349" s="178" t="s">
        <v>235</v>
      </c>
      <c r="I349" s="175" t="s">
        <v>47</v>
      </c>
      <c r="J349" s="188" t="s">
        <v>11</v>
      </c>
      <c r="K349" s="473"/>
      <c r="L349" s="473"/>
      <c r="M349" s="193" t="s">
        <v>9</v>
      </c>
      <c r="N349" s="458">
        <v>0</v>
      </c>
      <c r="O349" s="470">
        <v>0</v>
      </c>
      <c r="P349" s="470">
        <v>0</v>
      </c>
      <c r="Q349" s="45">
        <v>0</v>
      </c>
      <c r="R349" s="46">
        <v>0</v>
      </c>
      <c r="S349" s="41">
        <v>45865.70045138889</v>
      </c>
      <c r="T349" s="42" t="s">
        <v>41</v>
      </c>
      <c r="U349" s="43" t="s">
        <v>445</v>
      </c>
      <c r="V349" s="34">
        <f t="shared" si="15"/>
        <v>46144.375</v>
      </c>
      <c r="W349" s="471">
        <f t="shared" si="16"/>
        <v>46144.333333333328</v>
      </c>
      <c r="X349" s="35">
        <f t="shared" si="17"/>
        <v>46144.291666666664</v>
      </c>
    </row>
    <row r="350" spans="1:24" ht="21" customHeight="1" thickBot="1">
      <c r="A350" s="290">
        <v>35</v>
      </c>
      <c r="B350" s="172">
        <v>46144</v>
      </c>
      <c r="C350" s="331">
        <v>46144.416666666664</v>
      </c>
      <c r="D350" s="335">
        <v>46144.625</v>
      </c>
      <c r="E350" s="335">
        <v>46144.708333333336</v>
      </c>
      <c r="F350" s="335">
        <v>46144.75</v>
      </c>
      <c r="G350" s="326">
        <v>46144.916666666664</v>
      </c>
      <c r="H350" s="178" t="s">
        <v>264</v>
      </c>
      <c r="I350" s="175" t="s">
        <v>46</v>
      </c>
      <c r="J350" s="188" t="s">
        <v>12</v>
      </c>
      <c r="K350" s="473"/>
      <c r="L350" s="473"/>
      <c r="M350" s="193" t="s">
        <v>4</v>
      </c>
      <c r="N350" s="458">
        <v>0</v>
      </c>
      <c r="O350" s="470">
        <v>0</v>
      </c>
      <c r="P350" s="470">
        <v>0</v>
      </c>
      <c r="Q350" s="45">
        <v>0</v>
      </c>
      <c r="R350" s="46">
        <v>0</v>
      </c>
      <c r="S350" s="41">
        <v>45865.70045138889</v>
      </c>
      <c r="T350" s="42" t="s">
        <v>41</v>
      </c>
      <c r="U350" s="43" t="s">
        <v>445</v>
      </c>
      <c r="V350" s="34">
        <f t="shared" si="15"/>
        <v>46144.375</v>
      </c>
      <c r="W350" s="471">
        <f t="shared" si="16"/>
        <v>46144.333333333328</v>
      </c>
      <c r="X350" s="35">
        <f t="shared" si="17"/>
        <v>46144.291666666664</v>
      </c>
    </row>
    <row r="351" spans="1:24" ht="21" customHeight="1" thickBot="1">
      <c r="A351" s="290">
        <v>35</v>
      </c>
      <c r="B351" s="172">
        <v>46144</v>
      </c>
      <c r="C351" s="331">
        <v>46144.416666666664</v>
      </c>
      <c r="D351" s="335">
        <v>46144.625</v>
      </c>
      <c r="E351" s="335">
        <v>46144.708333333336</v>
      </c>
      <c r="F351" s="335">
        <v>46144.75</v>
      </c>
      <c r="G351" s="326">
        <v>46144.916666666664</v>
      </c>
      <c r="H351" s="178" t="s">
        <v>509</v>
      </c>
      <c r="I351" s="175" t="s">
        <v>52</v>
      </c>
      <c r="J351" s="188" t="s">
        <v>15</v>
      </c>
      <c r="K351" s="473"/>
      <c r="L351" s="473"/>
      <c r="M351" s="193" t="s">
        <v>443</v>
      </c>
      <c r="N351" s="458">
        <v>0</v>
      </c>
      <c r="O351" s="470">
        <v>0</v>
      </c>
      <c r="P351" s="470">
        <v>0</v>
      </c>
      <c r="Q351" s="45">
        <v>0</v>
      </c>
      <c r="R351" s="46">
        <v>0</v>
      </c>
      <c r="S351" s="41">
        <v>45865.70045138889</v>
      </c>
      <c r="T351" s="42" t="s">
        <v>41</v>
      </c>
      <c r="U351" s="43" t="s">
        <v>445</v>
      </c>
      <c r="V351" s="34">
        <f t="shared" si="15"/>
        <v>46144.375</v>
      </c>
      <c r="W351" s="471">
        <f t="shared" si="16"/>
        <v>46144.333333333328</v>
      </c>
      <c r="X351" s="35">
        <f t="shared" si="17"/>
        <v>46144.291666666664</v>
      </c>
    </row>
    <row r="352" spans="1:24" ht="21" customHeight="1" thickBot="1">
      <c r="A352" s="289">
        <v>36</v>
      </c>
      <c r="B352" s="171">
        <v>46151</v>
      </c>
      <c r="C352" s="330">
        <v>46151.416666666664</v>
      </c>
      <c r="D352" s="334">
        <v>46151.625</v>
      </c>
      <c r="E352" s="334">
        <v>46151.708333333336</v>
      </c>
      <c r="F352" s="334">
        <v>46151.75</v>
      </c>
      <c r="G352" s="325">
        <v>46151.916666666664</v>
      </c>
      <c r="H352" s="177" t="s">
        <v>269</v>
      </c>
      <c r="I352" s="174" t="s">
        <v>217</v>
      </c>
      <c r="J352" s="187" t="s">
        <v>4</v>
      </c>
      <c r="K352" s="473"/>
      <c r="L352" s="473"/>
      <c r="M352" s="192" t="s">
        <v>15</v>
      </c>
      <c r="N352" s="456">
        <v>0</v>
      </c>
      <c r="O352" s="457">
        <v>0</v>
      </c>
      <c r="P352" s="457">
        <v>0</v>
      </c>
      <c r="Q352" s="39">
        <v>0</v>
      </c>
      <c r="R352" s="40">
        <v>0</v>
      </c>
      <c r="S352" s="36">
        <v>45865.70045138889</v>
      </c>
      <c r="T352" s="37" t="s">
        <v>41</v>
      </c>
      <c r="U352" s="38" t="s">
        <v>445</v>
      </c>
      <c r="V352" s="56">
        <f t="shared" si="15"/>
        <v>46151.375</v>
      </c>
      <c r="W352" s="57">
        <f t="shared" si="16"/>
        <v>46151.333333333328</v>
      </c>
      <c r="X352" s="58">
        <f t="shared" si="17"/>
        <v>46151.291666666664</v>
      </c>
    </row>
    <row r="353" spans="1:24" ht="21" customHeight="1" thickBot="1">
      <c r="A353" s="290">
        <v>36</v>
      </c>
      <c r="B353" s="172">
        <v>46151</v>
      </c>
      <c r="C353" s="331">
        <v>46151.416666666664</v>
      </c>
      <c r="D353" s="335">
        <v>46151.625</v>
      </c>
      <c r="E353" s="335">
        <v>46151.708333333336</v>
      </c>
      <c r="F353" s="335">
        <v>46151.75</v>
      </c>
      <c r="G353" s="326">
        <v>46151.916666666664</v>
      </c>
      <c r="H353" s="178" t="s">
        <v>555</v>
      </c>
      <c r="I353" s="175" t="s">
        <v>451</v>
      </c>
      <c r="J353" s="188" t="s">
        <v>5</v>
      </c>
      <c r="K353" s="473"/>
      <c r="L353" s="473"/>
      <c r="M353" s="193" t="s">
        <v>2</v>
      </c>
      <c r="N353" s="458">
        <v>0</v>
      </c>
      <c r="O353" s="470">
        <v>0</v>
      </c>
      <c r="P353" s="470">
        <v>0</v>
      </c>
      <c r="Q353" s="45">
        <v>0</v>
      </c>
      <c r="R353" s="46">
        <v>0</v>
      </c>
      <c r="S353" s="41">
        <v>45865.70045138889</v>
      </c>
      <c r="T353" s="42" t="s">
        <v>41</v>
      </c>
      <c r="U353" s="43" t="s">
        <v>445</v>
      </c>
      <c r="V353" s="34">
        <f t="shared" si="15"/>
        <v>46151.375</v>
      </c>
      <c r="W353" s="471">
        <f t="shared" si="16"/>
        <v>46151.333333333328</v>
      </c>
      <c r="X353" s="35">
        <f t="shared" si="17"/>
        <v>46151.291666666664</v>
      </c>
    </row>
    <row r="354" spans="1:24" ht="21" customHeight="1" thickBot="1">
      <c r="A354" s="290">
        <v>36</v>
      </c>
      <c r="B354" s="172">
        <v>46151</v>
      </c>
      <c r="C354" s="331">
        <v>46151.416666666664</v>
      </c>
      <c r="D354" s="335">
        <v>46151.625</v>
      </c>
      <c r="E354" s="335">
        <v>46151.708333333336</v>
      </c>
      <c r="F354" s="335">
        <v>46151.75</v>
      </c>
      <c r="G354" s="326">
        <v>46151.916666666664</v>
      </c>
      <c r="H354" s="178" t="s">
        <v>129</v>
      </c>
      <c r="I354" s="175" t="s">
        <v>44</v>
      </c>
      <c r="J354" s="188" t="s">
        <v>7</v>
      </c>
      <c r="K354" s="473"/>
      <c r="L354" s="473"/>
      <c r="M354" s="193" t="s">
        <v>8</v>
      </c>
      <c r="N354" s="458">
        <v>0</v>
      </c>
      <c r="O354" s="470">
        <v>0</v>
      </c>
      <c r="P354" s="470">
        <v>0</v>
      </c>
      <c r="Q354" s="45">
        <v>0</v>
      </c>
      <c r="R354" s="46">
        <v>0</v>
      </c>
      <c r="S354" s="41">
        <v>45865.70045138889</v>
      </c>
      <c r="T354" s="42" t="s">
        <v>41</v>
      </c>
      <c r="U354" s="43" t="s">
        <v>445</v>
      </c>
      <c r="V354" s="34">
        <f t="shared" si="15"/>
        <v>46151.375</v>
      </c>
      <c r="W354" s="471">
        <f t="shared" si="16"/>
        <v>46151.333333333328</v>
      </c>
      <c r="X354" s="35">
        <f t="shared" si="17"/>
        <v>46151.291666666664</v>
      </c>
    </row>
    <row r="355" spans="1:24" ht="21" customHeight="1" thickBot="1">
      <c r="A355" s="290">
        <v>36</v>
      </c>
      <c r="B355" s="172">
        <v>46151</v>
      </c>
      <c r="C355" s="331">
        <v>46151.416666666664</v>
      </c>
      <c r="D355" s="335">
        <v>46151.625</v>
      </c>
      <c r="E355" s="335">
        <v>46151.708333333336</v>
      </c>
      <c r="F355" s="335">
        <v>46151.75</v>
      </c>
      <c r="G355" s="326">
        <v>46151.916666666664</v>
      </c>
      <c r="H355" s="178" t="s">
        <v>322</v>
      </c>
      <c r="I355" s="175" t="s">
        <v>157</v>
      </c>
      <c r="J355" s="188" t="s">
        <v>108</v>
      </c>
      <c r="K355" s="473"/>
      <c r="L355" s="473"/>
      <c r="M355" s="193" t="s">
        <v>3</v>
      </c>
      <c r="N355" s="458">
        <v>0</v>
      </c>
      <c r="O355" s="470">
        <v>0</v>
      </c>
      <c r="P355" s="470">
        <v>0</v>
      </c>
      <c r="Q355" s="45">
        <v>0</v>
      </c>
      <c r="R355" s="46">
        <v>0</v>
      </c>
      <c r="S355" s="41">
        <v>45865.70045138889</v>
      </c>
      <c r="T355" s="42" t="s">
        <v>41</v>
      </c>
      <c r="U355" s="43" t="s">
        <v>445</v>
      </c>
      <c r="V355" s="34">
        <f t="shared" si="15"/>
        <v>46151.375</v>
      </c>
      <c r="W355" s="471">
        <f t="shared" si="16"/>
        <v>46151.333333333328</v>
      </c>
      <c r="X355" s="35">
        <f t="shared" si="17"/>
        <v>46151.291666666664</v>
      </c>
    </row>
    <row r="356" spans="1:24" ht="21" customHeight="1" thickBot="1">
      <c r="A356" s="290">
        <v>36</v>
      </c>
      <c r="B356" s="172">
        <v>46151</v>
      </c>
      <c r="C356" s="331">
        <v>46151.416666666664</v>
      </c>
      <c r="D356" s="335">
        <v>46151.625</v>
      </c>
      <c r="E356" s="335">
        <v>46151.708333333336</v>
      </c>
      <c r="F356" s="335">
        <v>46151.75</v>
      </c>
      <c r="G356" s="326">
        <v>46151.916666666664</v>
      </c>
      <c r="H356" s="178" t="s">
        <v>116</v>
      </c>
      <c r="I356" s="175" t="s">
        <v>40</v>
      </c>
      <c r="J356" s="188" t="s">
        <v>9</v>
      </c>
      <c r="K356" s="473"/>
      <c r="L356" s="473"/>
      <c r="M356" s="193" t="s">
        <v>6</v>
      </c>
      <c r="N356" s="458">
        <v>0</v>
      </c>
      <c r="O356" s="470">
        <v>0</v>
      </c>
      <c r="P356" s="470">
        <v>0</v>
      </c>
      <c r="Q356" s="45">
        <v>0</v>
      </c>
      <c r="R356" s="46">
        <v>0</v>
      </c>
      <c r="S356" s="41">
        <v>45865.70045138889</v>
      </c>
      <c r="T356" s="42" t="s">
        <v>41</v>
      </c>
      <c r="U356" s="43" t="s">
        <v>445</v>
      </c>
      <c r="V356" s="34">
        <f t="shared" si="15"/>
        <v>46151.375</v>
      </c>
      <c r="W356" s="471">
        <f t="shared" si="16"/>
        <v>46151.333333333328</v>
      </c>
      <c r="X356" s="35">
        <f t="shared" si="17"/>
        <v>46151.291666666664</v>
      </c>
    </row>
    <row r="357" spans="1:24" ht="21" customHeight="1" thickBot="1">
      <c r="A357" s="290">
        <v>36</v>
      </c>
      <c r="B357" s="172">
        <v>46151</v>
      </c>
      <c r="C357" s="331">
        <v>46151.416666666664</v>
      </c>
      <c r="D357" s="335">
        <v>46151.625</v>
      </c>
      <c r="E357" s="335">
        <v>46151.708333333336</v>
      </c>
      <c r="F357" s="335">
        <v>46151.75</v>
      </c>
      <c r="G357" s="326">
        <v>46151.916666666664</v>
      </c>
      <c r="H357" s="178" t="s">
        <v>238</v>
      </c>
      <c r="I357" s="175" t="s">
        <v>50</v>
      </c>
      <c r="J357" s="188" t="s">
        <v>10</v>
      </c>
      <c r="K357" s="473"/>
      <c r="L357" s="473"/>
      <c r="M357" s="193" t="s">
        <v>107</v>
      </c>
      <c r="N357" s="458">
        <v>0</v>
      </c>
      <c r="O357" s="470">
        <v>0</v>
      </c>
      <c r="P357" s="470">
        <v>0</v>
      </c>
      <c r="Q357" s="45">
        <v>0</v>
      </c>
      <c r="R357" s="46">
        <v>0</v>
      </c>
      <c r="S357" s="41">
        <v>45865.70045138889</v>
      </c>
      <c r="T357" s="42" t="s">
        <v>41</v>
      </c>
      <c r="U357" s="43" t="s">
        <v>445</v>
      </c>
      <c r="V357" s="34">
        <f t="shared" si="15"/>
        <v>46151.375</v>
      </c>
      <c r="W357" s="471">
        <f t="shared" si="16"/>
        <v>46151.333333333328</v>
      </c>
      <c r="X357" s="35">
        <f t="shared" si="17"/>
        <v>46151.291666666664</v>
      </c>
    </row>
    <row r="358" spans="1:24" ht="21" customHeight="1" thickBot="1">
      <c r="A358" s="290">
        <v>36</v>
      </c>
      <c r="B358" s="172">
        <v>46151</v>
      </c>
      <c r="C358" s="331">
        <v>46151.416666666664</v>
      </c>
      <c r="D358" s="335">
        <v>46151.625</v>
      </c>
      <c r="E358" s="335">
        <v>46151.708333333336</v>
      </c>
      <c r="F358" s="335">
        <v>46151.75</v>
      </c>
      <c r="G358" s="326">
        <v>46151.916666666664</v>
      </c>
      <c r="H358" s="178" t="s">
        <v>283</v>
      </c>
      <c r="I358" s="175" t="s">
        <v>158</v>
      </c>
      <c r="J358" s="188" t="s">
        <v>188</v>
      </c>
      <c r="K358" s="473"/>
      <c r="L358" s="473"/>
      <c r="M358" s="193" t="s">
        <v>12</v>
      </c>
      <c r="N358" s="458">
        <v>0</v>
      </c>
      <c r="O358" s="470">
        <v>0</v>
      </c>
      <c r="P358" s="470">
        <v>0</v>
      </c>
      <c r="Q358" s="45">
        <v>0</v>
      </c>
      <c r="R358" s="46">
        <v>0</v>
      </c>
      <c r="S358" s="41">
        <v>45865.70045138889</v>
      </c>
      <c r="T358" s="42" t="s">
        <v>41</v>
      </c>
      <c r="U358" s="43" t="s">
        <v>445</v>
      </c>
      <c r="V358" s="34">
        <f t="shared" si="15"/>
        <v>46151.375</v>
      </c>
      <c r="W358" s="471">
        <f t="shared" si="16"/>
        <v>46151.333333333328</v>
      </c>
      <c r="X358" s="35">
        <f t="shared" si="17"/>
        <v>46151.291666666664</v>
      </c>
    </row>
    <row r="359" spans="1:24" ht="21" customHeight="1" thickBot="1">
      <c r="A359" s="290">
        <v>36</v>
      </c>
      <c r="B359" s="172">
        <v>46151</v>
      </c>
      <c r="C359" s="331">
        <v>46151.416666666664</v>
      </c>
      <c r="D359" s="335">
        <v>46151.625</v>
      </c>
      <c r="E359" s="335">
        <v>46151.708333333336</v>
      </c>
      <c r="F359" s="335">
        <v>46151.75</v>
      </c>
      <c r="G359" s="326">
        <v>46151.916666666664</v>
      </c>
      <c r="H359" s="178" t="s">
        <v>556</v>
      </c>
      <c r="I359" s="175" t="s">
        <v>45</v>
      </c>
      <c r="J359" s="188" t="s">
        <v>13</v>
      </c>
      <c r="K359" s="473"/>
      <c r="L359" s="473"/>
      <c r="M359" s="193" t="s">
        <v>444</v>
      </c>
      <c r="N359" s="458">
        <v>0</v>
      </c>
      <c r="O359" s="470">
        <v>0</v>
      </c>
      <c r="P359" s="470">
        <v>0</v>
      </c>
      <c r="Q359" s="45">
        <v>0</v>
      </c>
      <c r="R359" s="46">
        <v>0</v>
      </c>
      <c r="S359" s="41">
        <v>45865.70045138889</v>
      </c>
      <c r="T359" s="42" t="s">
        <v>41</v>
      </c>
      <c r="U359" s="43" t="s">
        <v>445</v>
      </c>
      <c r="V359" s="34">
        <f t="shared" si="15"/>
        <v>46151.375</v>
      </c>
      <c r="W359" s="471">
        <f t="shared" si="16"/>
        <v>46151.333333333328</v>
      </c>
      <c r="X359" s="35">
        <f t="shared" si="17"/>
        <v>46151.291666666664</v>
      </c>
    </row>
    <row r="360" spans="1:24" ht="21" customHeight="1" thickBot="1">
      <c r="A360" s="290">
        <v>36</v>
      </c>
      <c r="B360" s="172">
        <v>46151</v>
      </c>
      <c r="C360" s="331">
        <v>46151.416666666664</v>
      </c>
      <c r="D360" s="335">
        <v>46151.625</v>
      </c>
      <c r="E360" s="335">
        <v>46151.708333333336</v>
      </c>
      <c r="F360" s="335">
        <v>46151.75</v>
      </c>
      <c r="G360" s="326">
        <v>46151.916666666664</v>
      </c>
      <c r="H360" s="178" t="s">
        <v>557</v>
      </c>
      <c r="I360" s="175" t="s">
        <v>448</v>
      </c>
      <c r="J360" s="188" t="s">
        <v>443</v>
      </c>
      <c r="K360" s="473"/>
      <c r="L360" s="473"/>
      <c r="M360" s="193" t="s">
        <v>11</v>
      </c>
      <c r="N360" s="458">
        <v>0</v>
      </c>
      <c r="O360" s="470">
        <v>0</v>
      </c>
      <c r="P360" s="470">
        <v>0</v>
      </c>
      <c r="Q360" s="45">
        <v>0</v>
      </c>
      <c r="R360" s="46">
        <v>0</v>
      </c>
      <c r="S360" s="41">
        <v>45865.70045138889</v>
      </c>
      <c r="T360" s="42" t="s">
        <v>41</v>
      </c>
      <c r="U360" s="43" t="s">
        <v>445</v>
      </c>
      <c r="V360" s="34">
        <f t="shared" si="15"/>
        <v>46151.375</v>
      </c>
      <c r="W360" s="471">
        <f t="shared" si="16"/>
        <v>46151.333333333328</v>
      </c>
      <c r="X360" s="35">
        <f t="shared" si="17"/>
        <v>46151.291666666664</v>
      </c>
    </row>
    <row r="361" spans="1:24" ht="21" customHeight="1" thickBot="1">
      <c r="A361" s="290">
        <v>36</v>
      </c>
      <c r="B361" s="172">
        <v>46151</v>
      </c>
      <c r="C361" s="331">
        <v>46151.416666666664</v>
      </c>
      <c r="D361" s="335">
        <v>46151.625</v>
      </c>
      <c r="E361" s="335">
        <v>46151.708333333336</v>
      </c>
      <c r="F361" s="335">
        <v>46151.75</v>
      </c>
      <c r="G361" s="326">
        <v>46151.916666666664</v>
      </c>
      <c r="H361" s="178" t="s">
        <v>291</v>
      </c>
      <c r="I361" s="175" t="s">
        <v>42</v>
      </c>
      <c r="J361" s="188" t="s">
        <v>14</v>
      </c>
      <c r="K361" s="473"/>
      <c r="L361" s="473"/>
      <c r="M361" s="193" t="s">
        <v>1</v>
      </c>
      <c r="N361" s="458">
        <v>0</v>
      </c>
      <c r="O361" s="470">
        <v>0</v>
      </c>
      <c r="P361" s="470">
        <v>0</v>
      </c>
      <c r="Q361" s="45">
        <v>0</v>
      </c>
      <c r="R361" s="46">
        <v>0</v>
      </c>
      <c r="S361" s="41">
        <v>45865.70045138889</v>
      </c>
      <c r="T361" s="42" t="s">
        <v>41</v>
      </c>
      <c r="U361" s="43" t="s">
        <v>445</v>
      </c>
      <c r="V361" s="34">
        <f t="shared" si="15"/>
        <v>46151.375</v>
      </c>
      <c r="W361" s="471">
        <f t="shared" si="16"/>
        <v>46151.333333333328</v>
      </c>
      <c r="X361" s="35">
        <f t="shared" si="17"/>
        <v>46151.291666666664</v>
      </c>
    </row>
    <row r="362" spans="1:24" ht="21" customHeight="1" thickBot="1">
      <c r="A362" s="289">
        <v>37</v>
      </c>
      <c r="B362" s="171">
        <v>46159</v>
      </c>
      <c r="C362" s="330">
        <v>46159.416666666664</v>
      </c>
      <c r="D362" s="334">
        <v>46159.625</v>
      </c>
      <c r="E362" s="334">
        <v>46159.708333333336</v>
      </c>
      <c r="F362" s="334">
        <v>46159.75</v>
      </c>
      <c r="G362" s="325">
        <v>46159.916666666664</v>
      </c>
      <c r="H362" s="177" t="s">
        <v>510</v>
      </c>
      <c r="I362" s="174" t="s">
        <v>48</v>
      </c>
      <c r="J362" s="187" t="s">
        <v>1</v>
      </c>
      <c r="K362" s="473"/>
      <c r="L362" s="473"/>
      <c r="M362" s="192" t="s">
        <v>5</v>
      </c>
      <c r="N362" s="456">
        <v>0</v>
      </c>
      <c r="O362" s="457">
        <v>0</v>
      </c>
      <c r="P362" s="457">
        <v>0</v>
      </c>
      <c r="Q362" s="39">
        <v>0</v>
      </c>
      <c r="R362" s="40">
        <v>0</v>
      </c>
      <c r="S362" s="36">
        <v>45865.70045138889</v>
      </c>
      <c r="T362" s="37" t="s">
        <v>41</v>
      </c>
      <c r="U362" s="38" t="s">
        <v>445</v>
      </c>
      <c r="V362" s="56">
        <f t="shared" si="15"/>
        <v>46159.375</v>
      </c>
      <c r="W362" s="57">
        <f t="shared" si="16"/>
        <v>46159.333333333328</v>
      </c>
      <c r="X362" s="58">
        <f t="shared" si="17"/>
        <v>46159.291666666664</v>
      </c>
    </row>
    <row r="363" spans="1:24" ht="21" customHeight="1" thickBot="1">
      <c r="A363" s="290">
        <v>37</v>
      </c>
      <c r="B363" s="172">
        <v>46159</v>
      </c>
      <c r="C363" s="331">
        <v>46159.416666666664</v>
      </c>
      <c r="D363" s="335">
        <v>46159.625</v>
      </c>
      <c r="E363" s="335">
        <v>46159.708333333336</v>
      </c>
      <c r="F363" s="335">
        <v>46159.75</v>
      </c>
      <c r="G363" s="326">
        <v>46159.916666666664</v>
      </c>
      <c r="H363" s="178" t="s">
        <v>146</v>
      </c>
      <c r="I363" s="175" t="s">
        <v>49</v>
      </c>
      <c r="J363" s="188" t="s">
        <v>2</v>
      </c>
      <c r="K363" s="473"/>
      <c r="L363" s="473"/>
      <c r="M363" s="193" t="s">
        <v>9</v>
      </c>
      <c r="N363" s="458">
        <v>0</v>
      </c>
      <c r="O363" s="470">
        <v>0</v>
      </c>
      <c r="P363" s="470">
        <v>0</v>
      </c>
      <c r="Q363" s="45">
        <v>0</v>
      </c>
      <c r="R363" s="46">
        <v>0</v>
      </c>
      <c r="S363" s="41">
        <v>45865.70045138889</v>
      </c>
      <c r="T363" s="42" t="s">
        <v>41</v>
      </c>
      <c r="U363" s="43" t="s">
        <v>445</v>
      </c>
      <c r="V363" s="34">
        <f t="shared" si="15"/>
        <v>46159.375</v>
      </c>
      <c r="W363" s="471">
        <f t="shared" si="16"/>
        <v>46159.333333333328</v>
      </c>
      <c r="X363" s="35">
        <f t="shared" si="17"/>
        <v>46159.291666666664</v>
      </c>
    </row>
    <row r="364" spans="1:24" ht="21" customHeight="1" thickBot="1">
      <c r="A364" s="290">
        <v>37</v>
      </c>
      <c r="B364" s="172">
        <v>46159</v>
      </c>
      <c r="C364" s="331">
        <v>46159.416666666664</v>
      </c>
      <c r="D364" s="335">
        <v>46159.625</v>
      </c>
      <c r="E364" s="335">
        <v>46159.708333333336</v>
      </c>
      <c r="F364" s="335">
        <v>46159.75</v>
      </c>
      <c r="G364" s="326">
        <v>46159.916666666664</v>
      </c>
      <c r="H364" s="178" t="s">
        <v>274</v>
      </c>
      <c r="I364" s="175" t="s">
        <v>43</v>
      </c>
      <c r="J364" s="188" t="s">
        <v>3</v>
      </c>
      <c r="K364" s="473"/>
      <c r="L364" s="473"/>
      <c r="M364" s="193" t="s">
        <v>10</v>
      </c>
      <c r="N364" s="458">
        <v>0</v>
      </c>
      <c r="O364" s="470">
        <v>0</v>
      </c>
      <c r="P364" s="470">
        <v>0</v>
      </c>
      <c r="Q364" s="45">
        <v>0</v>
      </c>
      <c r="R364" s="46">
        <v>0</v>
      </c>
      <c r="S364" s="41">
        <v>45865.70045138889</v>
      </c>
      <c r="T364" s="42" t="s">
        <v>41</v>
      </c>
      <c r="U364" s="43" t="s">
        <v>445</v>
      </c>
      <c r="V364" s="34">
        <f t="shared" si="15"/>
        <v>46159.375</v>
      </c>
      <c r="W364" s="471">
        <f t="shared" si="16"/>
        <v>46159.333333333328</v>
      </c>
      <c r="X364" s="35">
        <f t="shared" si="17"/>
        <v>46159.291666666664</v>
      </c>
    </row>
    <row r="365" spans="1:24" ht="21" customHeight="1" thickBot="1">
      <c r="A365" s="290">
        <v>37</v>
      </c>
      <c r="B365" s="172">
        <v>46159</v>
      </c>
      <c r="C365" s="331">
        <v>46159.416666666664</v>
      </c>
      <c r="D365" s="335">
        <v>46159.625</v>
      </c>
      <c r="E365" s="335">
        <v>46159.708333333336</v>
      </c>
      <c r="F365" s="335">
        <v>46159.75</v>
      </c>
      <c r="G365" s="326">
        <v>46159.916666666664</v>
      </c>
      <c r="H365" s="178" t="s">
        <v>138</v>
      </c>
      <c r="I365" s="175" t="s">
        <v>172</v>
      </c>
      <c r="J365" s="188" t="s">
        <v>107</v>
      </c>
      <c r="K365" s="473"/>
      <c r="L365" s="473"/>
      <c r="M365" s="193" t="s">
        <v>7</v>
      </c>
      <c r="N365" s="458">
        <v>0</v>
      </c>
      <c r="O365" s="470">
        <v>0</v>
      </c>
      <c r="P365" s="470">
        <v>0</v>
      </c>
      <c r="Q365" s="45">
        <v>0</v>
      </c>
      <c r="R365" s="46">
        <v>0</v>
      </c>
      <c r="S365" s="41">
        <v>45865.70045138889</v>
      </c>
      <c r="T365" s="42" t="s">
        <v>41</v>
      </c>
      <c r="U365" s="43" t="s">
        <v>445</v>
      </c>
      <c r="V365" s="34">
        <f t="shared" si="15"/>
        <v>46159.375</v>
      </c>
      <c r="W365" s="471">
        <f t="shared" si="16"/>
        <v>46159.333333333328</v>
      </c>
      <c r="X365" s="35">
        <f t="shared" si="17"/>
        <v>46159.291666666664</v>
      </c>
    </row>
    <row r="366" spans="1:24" ht="21" customHeight="1" thickBot="1">
      <c r="A366" s="290">
        <v>37</v>
      </c>
      <c r="B366" s="172">
        <v>46159</v>
      </c>
      <c r="C366" s="331">
        <v>46159.416666666664</v>
      </c>
      <c r="D366" s="335">
        <v>46159.625</v>
      </c>
      <c r="E366" s="335">
        <v>46159.708333333336</v>
      </c>
      <c r="F366" s="335">
        <v>46159.75</v>
      </c>
      <c r="G366" s="326">
        <v>46159.916666666664</v>
      </c>
      <c r="H366" s="178" t="s">
        <v>388</v>
      </c>
      <c r="I366" s="175" t="s">
        <v>51</v>
      </c>
      <c r="J366" s="188" t="s">
        <v>6</v>
      </c>
      <c r="K366" s="473"/>
      <c r="L366" s="473"/>
      <c r="M366" s="193" t="s">
        <v>13</v>
      </c>
      <c r="N366" s="458">
        <v>0</v>
      </c>
      <c r="O366" s="470">
        <v>0</v>
      </c>
      <c r="P366" s="470">
        <v>0</v>
      </c>
      <c r="Q366" s="45">
        <v>0</v>
      </c>
      <c r="R366" s="46">
        <v>0</v>
      </c>
      <c r="S366" s="41">
        <v>45865.70045138889</v>
      </c>
      <c r="T366" s="42" t="s">
        <v>41</v>
      </c>
      <c r="U366" s="43" t="s">
        <v>445</v>
      </c>
      <c r="V366" s="34">
        <f t="shared" si="15"/>
        <v>46159.375</v>
      </c>
      <c r="W366" s="471">
        <f t="shared" si="16"/>
        <v>46159.333333333328</v>
      </c>
      <c r="X366" s="35">
        <f t="shared" si="17"/>
        <v>46159.291666666664</v>
      </c>
    </row>
    <row r="367" spans="1:24" ht="21" customHeight="1" thickBot="1">
      <c r="A367" s="290">
        <v>37</v>
      </c>
      <c r="B367" s="172">
        <v>46159</v>
      </c>
      <c r="C367" s="331">
        <v>46159.416666666664</v>
      </c>
      <c r="D367" s="335">
        <v>46159.625</v>
      </c>
      <c r="E367" s="335">
        <v>46159.708333333336</v>
      </c>
      <c r="F367" s="335">
        <v>46159.75</v>
      </c>
      <c r="G367" s="326">
        <v>46159.916666666664</v>
      </c>
      <c r="H367" s="178" t="s">
        <v>511</v>
      </c>
      <c r="I367" s="175" t="s">
        <v>452</v>
      </c>
      <c r="J367" s="188" t="s">
        <v>8</v>
      </c>
      <c r="K367" s="473"/>
      <c r="L367" s="473"/>
      <c r="M367" s="193" t="s">
        <v>443</v>
      </c>
      <c r="N367" s="458">
        <v>0</v>
      </c>
      <c r="O367" s="470">
        <v>0</v>
      </c>
      <c r="P367" s="470">
        <v>0</v>
      </c>
      <c r="Q367" s="45">
        <v>0</v>
      </c>
      <c r="R367" s="46">
        <v>0</v>
      </c>
      <c r="S367" s="41">
        <v>45865.70045138889</v>
      </c>
      <c r="T367" s="42" t="s">
        <v>41</v>
      </c>
      <c r="U367" s="43" t="s">
        <v>445</v>
      </c>
      <c r="V367" s="34">
        <f t="shared" si="15"/>
        <v>46159.375</v>
      </c>
      <c r="W367" s="471">
        <f t="shared" si="16"/>
        <v>46159.333333333328</v>
      </c>
      <c r="X367" s="35">
        <f t="shared" si="17"/>
        <v>46159.291666666664</v>
      </c>
    </row>
    <row r="368" spans="1:24" ht="21" customHeight="1" thickBot="1">
      <c r="A368" s="290">
        <v>37</v>
      </c>
      <c r="B368" s="172">
        <v>46159</v>
      </c>
      <c r="C368" s="331">
        <v>46159.416666666664</v>
      </c>
      <c r="D368" s="335">
        <v>46159.625</v>
      </c>
      <c r="E368" s="335">
        <v>46159.708333333336</v>
      </c>
      <c r="F368" s="335">
        <v>46159.75</v>
      </c>
      <c r="G368" s="326">
        <v>46159.916666666664</v>
      </c>
      <c r="H368" s="178" t="s">
        <v>547</v>
      </c>
      <c r="I368" s="175" t="s">
        <v>449</v>
      </c>
      <c r="J368" s="188" t="s">
        <v>444</v>
      </c>
      <c r="K368" s="473"/>
      <c r="L368" s="473"/>
      <c r="M368" s="193" t="s">
        <v>4</v>
      </c>
      <c r="N368" s="458">
        <v>0</v>
      </c>
      <c r="O368" s="470">
        <v>0</v>
      </c>
      <c r="P368" s="470">
        <v>0</v>
      </c>
      <c r="Q368" s="45">
        <v>0</v>
      </c>
      <c r="R368" s="46">
        <v>0</v>
      </c>
      <c r="S368" s="41">
        <v>45865.70045138889</v>
      </c>
      <c r="T368" s="42" t="s">
        <v>41</v>
      </c>
      <c r="U368" s="43" t="s">
        <v>445</v>
      </c>
      <c r="V368" s="34">
        <f t="shared" si="15"/>
        <v>46159.375</v>
      </c>
      <c r="W368" s="471">
        <f t="shared" si="16"/>
        <v>46159.333333333328</v>
      </c>
      <c r="X368" s="35">
        <f t="shared" si="17"/>
        <v>46159.291666666664</v>
      </c>
    </row>
    <row r="369" spans="1:24" ht="21" customHeight="1" thickBot="1">
      <c r="A369" s="290">
        <v>37</v>
      </c>
      <c r="B369" s="172">
        <v>46159</v>
      </c>
      <c r="C369" s="331">
        <v>46159.416666666664</v>
      </c>
      <c r="D369" s="335">
        <v>46159.625</v>
      </c>
      <c r="E369" s="335">
        <v>46159.708333333336</v>
      </c>
      <c r="F369" s="335">
        <v>46159.75</v>
      </c>
      <c r="G369" s="326">
        <v>46159.916666666664</v>
      </c>
      <c r="H369" s="178" t="s">
        <v>303</v>
      </c>
      <c r="I369" s="175" t="s">
        <v>47</v>
      </c>
      <c r="J369" s="188" t="s">
        <v>11</v>
      </c>
      <c r="K369" s="473"/>
      <c r="L369" s="473"/>
      <c r="M369" s="193" t="s">
        <v>188</v>
      </c>
      <c r="N369" s="458">
        <v>0</v>
      </c>
      <c r="O369" s="470">
        <v>0</v>
      </c>
      <c r="P369" s="470">
        <v>0</v>
      </c>
      <c r="Q369" s="45">
        <v>0</v>
      </c>
      <c r="R369" s="46">
        <v>0</v>
      </c>
      <c r="S369" s="41">
        <v>45865.70045138889</v>
      </c>
      <c r="T369" s="42" t="s">
        <v>41</v>
      </c>
      <c r="U369" s="43" t="s">
        <v>445</v>
      </c>
      <c r="V369" s="34">
        <f t="shared" si="15"/>
        <v>46159.375</v>
      </c>
      <c r="W369" s="471">
        <f t="shared" si="16"/>
        <v>46159.333333333328</v>
      </c>
      <c r="X369" s="35">
        <f t="shared" si="17"/>
        <v>46159.291666666664</v>
      </c>
    </row>
    <row r="370" spans="1:24" ht="21" customHeight="1" thickBot="1">
      <c r="A370" s="290">
        <v>37</v>
      </c>
      <c r="B370" s="172">
        <v>46159</v>
      </c>
      <c r="C370" s="331">
        <v>46159.416666666664</v>
      </c>
      <c r="D370" s="335">
        <v>46159.625</v>
      </c>
      <c r="E370" s="335">
        <v>46159.708333333336</v>
      </c>
      <c r="F370" s="335">
        <v>46159.75</v>
      </c>
      <c r="G370" s="326">
        <v>46159.916666666664</v>
      </c>
      <c r="H370" s="178" t="s">
        <v>288</v>
      </c>
      <c r="I370" s="175" t="s">
        <v>46</v>
      </c>
      <c r="J370" s="188" t="s">
        <v>12</v>
      </c>
      <c r="K370" s="473"/>
      <c r="L370" s="473"/>
      <c r="M370" s="193" t="s">
        <v>14</v>
      </c>
      <c r="N370" s="458">
        <v>0</v>
      </c>
      <c r="O370" s="470">
        <v>0</v>
      </c>
      <c r="P370" s="470">
        <v>0</v>
      </c>
      <c r="Q370" s="45">
        <v>0</v>
      </c>
      <c r="R370" s="46">
        <v>0</v>
      </c>
      <c r="S370" s="41">
        <v>45865.70045138889</v>
      </c>
      <c r="T370" s="42" t="s">
        <v>41</v>
      </c>
      <c r="U370" s="43" t="s">
        <v>445</v>
      </c>
      <c r="V370" s="34">
        <f t="shared" si="15"/>
        <v>46159.375</v>
      </c>
      <c r="W370" s="471">
        <f t="shared" si="16"/>
        <v>46159.333333333328</v>
      </c>
      <c r="X370" s="35">
        <f t="shared" si="17"/>
        <v>46159.291666666664</v>
      </c>
    </row>
    <row r="371" spans="1:24" ht="21" customHeight="1" thickBot="1">
      <c r="A371" s="291">
        <v>37</v>
      </c>
      <c r="B371" s="173">
        <v>46159</v>
      </c>
      <c r="C371" s="332">
        <v>46159.416666666664</v>
      </c>
      <c r="D371" s="336">
        <v>46159.625</v>
      </c>
      <c r="E371" s="336">
        <v>46159.708333333336</v>
      </c>
      <c r="F371" s="336">
        <v>46159.75</v>
      </c>
      <c r="G371" s="327">
        <v>46159.916666666664</v>
      </c>
      <c r="H371" s="179" t="s">
        <v>372</v>
      </c>
      <c r="I371" s="176" t="s">
        <v>52</v>
      </c>
      <c r="J371" s="189" t="s">
        <v>15</v>
      </c>
      <c r="K371" s="473"/>
      <c r="L371" s="473"/>
      <c r="M371" s="194" t="s">
        <v>108</v>
      </c>
      <c r="N371" s="459">
        <v>0</v>
      </c>
      <c r="O371" s="460">
        <v>0</v>
      </c>
      <c r="P371" s="460">
        <v>0</v>
      </c>
      <c r="Q371" s="54">
        <v>0</v>
      </c>
      <c r="R371" s="55">
        <v>0</v>
      </c>
      <c r="S371" s="51">
        <v>45865.70045138889</v>
      </c>
      <c r="T371" s="52" t="s">
        <v>41</v>
      </c>
      <c r="U371" s="53" t="s">
        <v>445</v>
      </c>
      <c r="V371" s="48">
        <f t="shared" si="15"/>
        <v>46159.375</v>
      </c>
      <c r="W371" s="49">
        <f t="shared" si="16"/>
        <v>46159.333333333328</v>
      </c>
      <c r="X371" s="50">
        <f t="shared" si="17"/>
        <v>46159.291666666664</v>
      </c>
    </row>
    <row r="372" spans="1:24" ht="21" customHeight="1" thickBot="1">
      <c r="A372" s="290">
        <v>38</v>
      </c>
      <c r="B372" s="172">
        <v>46166</v>
      </c>
      <c r="C372" s="331">
        <v>46166.458333333336</v>
      </c>
      <c r="D372" s="335">
        <v>46166.666666666664</v>
      </c>
      <c r="E372" s="335">
        <v>46166.75</v>
      </c>
      <c r="F372" s="335">
        <v>46166.791666666664</v>
      </c>
      <c r="G372" s="326">
        <v>46166.958333333336</v>
      </c>
      <c r="H372" s="178" t="s">
        <v>225</v>
      </c>
      <c r="I372" s="175" t="s">
        <v>217</v>
      </c>
      <c r="J372" s="188" t="s">
        <v>4</v>
      </c>
      <c r="K372" s="473"/>
      <c r="L372" s="473"/>
      <c r="M372" s="193" t="s">
        <v>11</v>
      </c>
      <c r="N372" s="458">
        <v>0</v>
      </c>
      <c r="O372" s="470">
        <v>0</v>
      </c>
      <c r="P372" s="470">
        <v>0</v>
      </c>
      <c r="Q372" s="45">
        <v>0</v>
      </c>
      <c r="R372" s="46">
        <v>0</v>
      </c>
      <c r="S372" s="41">
        <v>45865.70045138889</v>
      </c>
      <c r="T372" s="42" t="s">
        <v>41</v>
      </c>
      <c r="U372" s="43" t="s">
        <v>445</v>
      </c>
      <c r="V372" s="34">
        <f t="shared" si="15"/>
        <v>46166.416666666672</v>
      </c>
      <c r="W372" s="471">
        <f t="shared" si="16"/>
        <v>46166.375</v>
      </c>
      <c r="X372" s="35">
        <f t="shared" si="17"/>
        <v>46166.333333333336</v>
      </c>
    </row>
    <row r="373" spans="1:24" ht="21" customHeight="1" thickBot="1">
      <c r="A373" s="290">
        <v>38</v>
      </c>
      <c r="B373" s="172">
        <v>46166</v>
      </c>
      <c r="C373" s="331">
        <v>46166.458333333336</v>
      </c>
      <c r="D373" s="335">
        <v>46166.666666666664</v>
      </c>
      <c r="E373" s="335">
        <v>46166.75</v>
      </c>
      <c r="F373" s="335">
        <v>46166.791666666664</v>
      </c>
      <c r="G373" s="326">
        <v>46166.958333333336</v>
      </c>
      <c r="H373" s="178" t="s">
        <v>512</v>
      </c>
      <c r="I373" s="175" t="s">
        <v>451</v>
      </c>
      <c r="J373" s="188" t="s">
        <v>5</v>
      </c>
      <c r="K373" s="473"/>
      <c r="L373" s="473"/>
      <c r="M373" s="193" t="s">
        <v>15</v>
      </c>
      <c r="N373" s="458">
        <v>0</v>
      </c>
      <c r="O373" s="470">
        <v>0</v>
      </c>
      <c r="P373" s="470">
        <v>0</v>
      </c>
      <c r="Q373" s="45">
        <v>0</v>
      </c>
      <c r="R373" s="46">
        <v>0</v>
      </c>
      <c r="S373" s="41">
        <v>45865.70045138889</v>
      </c>
      <c r="T373" s="42" t="s">
        <v>41</v>
      </c>
      <c r="U373" s="43" t="s">
        <v>445</v>
      </c>
      <c r="V373" s="34">
        <f t="shared" si="15"/>
        <v>46166.416666666672</v>
      </c>
      <c r="W373" s="471">
        <f t="shared" si="16"/>
        <v>46166.375</v>
      </c>
      <c r="X373" s="35">
        <f t="shared" si="17"/>
        <v>46166.333333333336</v>
      </c>
    </row>
    <row r="374" spans="1:24" ht="21" customHeight="1" thickBot="1">
      <c r="A374" s="290">
        <v>38</v>
      </c>
      <c r="B374" s="172">
        <v>46166</v>
      </c>
      <c r="C374" s="331">
        <v>46166.458333333336</v>
      </c>
      <c r="D374" s="335">
        <v>46166.666666666664</v>
      </c>
      <c r="E374" s="335">
        <v>46166.75</v>
      </c>
      <c r="F374" s="335">
        <v>46166.791666666664</v>
      </c>
      <c r="G374" s="326">
        <v>46166.958333333336</v>
      </c>
      <c r="H374" s="178" t="s">
        <v>145</v>
      </c>
      <c r="I374" s="175" t="s">
        <v>44</v>
      </c>
      <c r="J374" s="188" t="s">
        <v>7</v>
      </c>
      <c r="K374" s="473"/>
      <c r="L374" s="473"/>
      <c r="M374" s="193" t="s">
        <v>1</v>
      </c>
      <c r="N374" s="458">
        <v>0</v>
      </c>
      <c r="O374" s="470">
        <v>0</v>
      </c>
      <c r="P374" s="470">
        <v>0</v>
      </c>
      <c r="Q374" s="45">
        <v>0</v>
      </c>
      <c r="R374" s="46">
        <v>0</v>
      </c>
      <c r="S374" s="41">
        <v>45865.70045138889</v>
      </c>
      <c r="T374" s="42" t="s">
        <v>41</v>
      </c>
      <c r="U374" s="43" t="s">
        <v>445</v>
      </c>
      <c r="V374" s="34">
        <f t="shared" si="15"/>
        <v>46166.416666666672</v>
      </c>
      <c r="W374" s="471">
        <f t="shared" si="16"/>
        <v>46166.375</v>
      </c>
      <c r="X374" s="35">
        <f t="shared" si="17"/>
        <v>46166.333333333336</v>
      </c>
    </row>
    <row r="375" spans="1:24" ht="21" customHeight="1" thickBot="1">
      <c r="A375" s="290">
        <v>38</v>
      </c>
      <c r="B375" s="172">
        <v>46166</v>
      </c>
      <c r="C375" s="331">
        <v>46166.458333333336</v>
      </c>
      <c r="D375" s="335">
        <v>46166.666666666664</v>
      </c>
      <c r="E375" s="335">
        <v>46166.75</v>
      </c>
      <c r="F375" s="335">
        <v>46166.791666666664</v>
      </c>
      <c r="G375" s="326">
        <v>46166.958333333336</v>
      </c>
      <c r="H375" s="178" t="s">
        <v>244</v>
      </c>
      <c r="I375" s="175" t="s">
        <v>157</v>
      </c>
      <c r="J375" s="188" t="s">
        <v>108</v>
      </c>
      <c r="K375" s="473"/>
      <c r="L375" s="473"/>
      <c r="M375" s="193" t="s">
        <v>12</v>
      </c>
      <c r="N375" s="458">
        <v>0</v>
      </c>
      <c r="O375" s="470">
        <v>0</v>
      </c>
      <c r="P375" s="470">
        <v>0</v>
      </c>
      <c r="Q375" s="45">
        <v>0</v>
      </c>
      <c r="R375" s="46">
        <v>0</v>
      </c>
      <c r="S375" s="41">
        <v>45865.70045138889</v>
      </c>
      <c r="T375" s="42" t="s">
        <v>41</v>
      </c>
      <c r="U375" s="43" t="s">
        <v>445</v>
      </c>
      <c r="V375" s="34">
        <f t="shared" si="15"/>
        <v>46166.416666666672</v>
      </c>
      <c r="W375" s="471">
        <f t="shared" si="16"/>
        <v>46166.375</v>
      </c>
      <c r="X375" s="35">
        <f t="shared" si="17"/>
        <v>46166.333333333336</v>
      </c>
    </row>
    <row r="376" spans="1:24" ht="21" customHeight="1" thickBot="1">
      <c r="A376" s="290">
        <v>38</v>
      </c>
      <c r="B376" s="172">
        <v>46166</v>
      </c>
      <c r="C376" s="331">
        <v>46166.458333333336</v>
      </c>
      <c r="D376" s="335">
        <v>46166.666666666664</v>
      </c>
      <c r="E376" s="335">
        <v>46166.75</v>
      </c>
      <c r="F376" s="335">
        <v>46166.791666666664</v>
      </c>
      <c r="G376" s="326">
        <v>46166.958333333336</v>
      </c>
      <c r="H376" s="178" t="s">
        <v>135</v>
      </c>
      <c r="I376" s="175" t="s">
        <v>40</v>
      </c>
      <c r="J376" s="188" t="s">
        <v>9</v>
      </c>
      <c r="K376" s="473"/>
      <c r="L376" s="473"/>
      <c r="M376" s="193" t="s">
        <v>107</v>
      </c>
      <c r="N376" s="458">
        <v>0</v>
      </c>
      <c r="O376" s="470">
        <v>0</v>
      </c>
      <c r="P376" s="470">
        <v>0</v>
      </c>
      <c r="Q376" s="45">
        <v>0</v>
      </c>
      <c r="R376" s="46">
        <v>0</v>
      </c>
      <c r="S376" s="41">
        <v>45865.70045138889</v>
      </c>
      <c r="T376" s="42" t="s">
        <v>41</v>
      </c>
      <c r="U376" s="43" t="s">
        <v>445</v>
      </c>
      <c r="V376" s="34">
        <f t="shared" si="15"/>
        <v>46166.416666666672</v>
      </c>
      <c r="W376" s="471">
        <f t="shared" si="16"/>
        <v>46166.375</v>
      </c>
      <c r="X376" s="35">
        <f t="shared" si="17"/>
        <v>46166.333333333336</v>
      </c>
    </row>
    <row r="377" spans="1:24" ht="21" customHeight="1" thickBot="1">
      <c r="A377" s="290">
        <v>38</v>
      </c>
      <c r="B377" s="172">
        <v>46166</v>
      </c>
      <c r="C377" s="331">
        <v>46166.458333333336</v>
      </c>
      <c r="D377" s="335">
        <v>46166.666666666664</v>
      </c>
      <c r="E377" s="335">
        <v>46166.75</v>
      </c>
      <c r="F377" s="335">
        <v>46166.791666666664</v>
      </c>
      <c r="G377" s="326">
        <v>46166.958333333336</v>
      </c>
      <c r="H377" s="178" t="s">
        <v>409</v>
      </c>
      <c r="I377" s="175" t="s">
        <v>50</v>
      </c>
      <c r="J377" s="188" t="s">
        <v>10</v>
      </c>
      <c r="K377" s="473"/>
      <c r="L377" s="473"/>
      <c r="M377" s="193" t="s">
        <v>2</v>
      </c>
      <c r="N377" s="458">
        <v>0</v>
      </c>
      <c r="O377" s="470">
        <v>0</v>
      </c>
      <c r="P377" s="470">
        <v>0</v>
      </c>
      <c r="Q377" s="45">
        <v>0</v>
      </c>
      <c r="R377" s="46">
        <v>0</v>
      </c>
      <c r="S377" s="41">
        <v>45865.70045138889</v>
      </c>
      <c r="T377" s="42" t="s">
        <v>41</v>
      </c>
      <c r="U377" s="43" t="s">
        <v>445</v>
      </c>
      <c r="V377" s="34">
        <f t="shared" si="15"/>
        <v>46166.416666666672</v>
      </c>
      <c r="W377" s="471">
        <f t="shared" si="16"/>
        <v>46166.375</v>
      </c>
      <c r="X377" s="35">
        <f t="shared" si="17"/>
        <v>46166.333333333336</v>
      </c>
    </row>
    <row r="378" spans="1:24" ht="21" customHeight="1" thickBot="1">
      <c r="A378" s="290">
        <v>38</v>
      </c>
      <c r="B378" s="172">
        <v>46166</v>
      </c>
      <c r="C378" s="331">
        <v>46166.458333333336</v>
      </c>
      <c r="D378" s="335">
        <v>46166.666666666664</v>
      </c>
      <c r="E378" s="335">
        <v>46166.75</v>
      </c>
      <c r="F378" s="335">
        <v>46166.791666666664</v>
      </c>
      <c r="G378" s="326">
        <v>46166.958333333336</v>
      </c>
      <c r="H378" s="178" t="s">
        <v>222</v>
      </c>
      <c r="I378" s="175" t="s">
        <v>158</v>
      </c>
      <c r="J378" s="188" t="s">
        <v>188</v>
      </c>
      <c r="K378" s="473"/>
      <c r="L378" s="473"/>
      <c r="M378" s="193" t="s">
        <v>3</v>
      </c>
      <c r="N378" s="458">
        <v>0</v>
      </c>
      <c r="O378" s="470">
        <v>0</v>
      </c>
      <c r="P378" s="470">
        <v>0</v>
      </c>
      <c r="Q378" s="45">
        <v>0</v>
      </c>
      <c r="R378" s="46">
        <v>0</v>
      </c>
      <c r="S378" s="41">
        <v>45865.70045138889</v>
      </c>
      <c r="T378" s="42" t="s">
        <v>41</v>
      </c>
      <c r="U378" s="43" t="s">
        <v>445</v>
      </c>
      <c r="V378" s="34">
        <f t="shared" si="15"/>
        <v>46166.416666666672</v>
      </c>
      <c r="W378" s="471">
        <f t="shared" si="16"/>
        <v>46166.375</v>
      </c>
      <c r="X378" s="35">
        <f t="shared" si="17"/>
        <v>46166.333333333336</v>
      </c>
    </row>
    <row r="379" spans="1:24" ht="21" customHeight="1" thickBot="1">
      <c r="A379" s="290">
        <v>38</v>
      </c>
      <c r="B379" s="172">
        <v>46166</v>
      </c>
      <c r="C379" s="331">
        <v>46166.458333333336</v>
      </c>
      <c r="D379" s="335">
        <v>46166.666666666664</v>
      </c>
      <c r="E379" s="335">
        <v>46166.75</v>
      </c>
      <c r="F379" s="335">
        <v>46166.791666666664</v>
      </c>
      <c r="G379" s="326">
        <v>46166.958333333336</v>
      </c>
      <c r="H379" s="178" t="s">
        <v>227</v>
      </c>
      <c r="I379" s="175" t="s">
        <v>45</v>
      </c>
      <c r="J379" s="188" t="s">
        <v>13</v>
      </c>
      <c r="K379" s="473"/>
      <c r="L379" s="473"/>
      <c r="M379" s="193" t="s">
        <v>8</v>
      </c>
      <c r="N379" s="458">
        <v>0</v>
      </c>
      <c r="O379" s="470">
        <v>0</v>
      </c>
      <c r="P379" s="470">
        <v>0</v>
      </c>
      <c r="Q379" s="45">
        <v>0</v>
      </c>
      <c r="R379" s="46">
        <v>0</v>
      </c>
      <c r="S379" s="41">
        <v>45865.70045138889</v>
      </c>
      <c r="T379" s="42" t="s">
        <v>41</v>
      </c>
      <c r="U379" s="43" t="s">
        <v>445</v>
      </c>
      <c r="V379" s="34">
        <f t="shared" si="15"/>
        <v>46166.416666666672</v>
      </c>
      <c r="W379" s="471">
        <f t="shared" si="16"/>
        <v>46166.375</v>
      </c>
      <c r="X379" s="35">
        <f t="shared" si="17"/>
        <v>46166.333333333336</v>
      </c>
    </row>
    <row r="380" spans="1:24" ht="21" customHeight="1" thickBot="1">
      <c r="A380" s="290">
        <v>38</v>
      </c>
      <c r="B380" s="172">
        <v>46166</v>
      </c>
      <c r="C380" s="331">
        <v>46166.458333333336</v>
      </c>
      <c r="D380" s="335">
        <v>46166.666666666664</v>
      </c>
      <c r="E380" s="335">
        <v>46166.75</v>
      </c>
      <c r="F380" s="335">
        <v>46166.791666666664</v>
      </c>
      <c r="G380" s="326">
        <v>46166.958333333336</v>
      </c>
      <c r="H380" s="178" t="s">
        <v>513</v>
      </c>
      <c r="I380" s="175" t="s">
        <v>448</v>
      </c>
      <c r="J380" s="188" t="s">
        <v>443</v>
      </c>
      <c r="K380" s="473"/>
      <c r="L380" s="473"/>
      <c r="M380" s="193" t="s">
        <v>6</v>
      </c>
      <c r="N380" s="458">
        <v>0</v>
      </c>
      <c r="O380" s="470">
        <v>0</v>
      </c>
      <c r="P380" s="470">
        <v>0</v>
      </c>
      <c r="Q380" s="45">
        <v>0</v>
      </c>
      <c r="R380" s="46">
        <v>0</v>
      </c>
      <c r="S380" s="41">
        <v>45865.70045138889</v>
      </c>
      <c r="T380" s="42" t="s">
        <v>41</v>
      </c>
      <c r="U380" s="43" t="s">
        <v>445</v>
      </c>
      <c r="V380" s="34">
        <f t="shared" si="15"/>
        <v>46166.416666666672</v>
      </c>
      <c r="W380" s="471">
        <f t="shared" si="16"/>
        <v>46166.375</v>
      </c>
      <c r="X380" s="35">
        <f t="shared" si="17"/>
        <v>46166.333333333336</v>
      </c>
    </row>
    <row r="381" spans="1:24" ht="21" customHeight="1" thickBot="1">
      <c r="A381" s="291">
        <v>38</v>
      </c>
      <c r="B381" s="173">
        <v>46166</v>
      </c>
      <c r="C381" s="332">
        <v>46166.458333333336</v>
      </c>
      <c r="D381" s="336">
        <v>46166.666666666664</v>
      </c>
      <c r="E381" s="336">
        <v>46166.75</v>
      </c>
      <c r="F381" s="336">
        <v>46166.791666666664</v>
      </c>
      <c r="G381" s="327">
        <v>46166.958333333336</v>
      </c>
      <c r="H381" s="179" t="s">
        <v>548</v>
      </c>
      <c r="I381" s="176" t="s">
        <v>42</v>
      </c>
      <c r="J381" s="189" t="s">
        <v>14</v>
      </c>
      <c r="K381" s="474"/>
      <c r="L381" s="474"/>
      <c r="M381" s="194" t="s">
        <v>444</v>
      </c>
      <c r="N381" s="459">
        <v>0</v>
      </c>
      <c r="O381" s="460">
        <v>0</v>
      </c>
      <c r="P381" s="460">
        <v>0</v>
      </c>
      <c r="Q381" s="54">
        <v>0</v>
      </c>
      <c r="R381" s="55">
        <v>0</v>
      </c>
      <c r="S381" s="51">
        <v>45865.70045138889</v>
      </c>
      <c r="T381" s="52" t="s">
        <v>41</v>
      </c>
      <c r="U381" s="53" t="s">
        <v>445</v>
      </c>
      <c r="V381" s="48">
        <f>IF(C381&lt;&gt;"TBC",C381-1/24,"TBC")</f>
        <v>46166.416666666672</v>
      </c>
      <c r="W381" s="49">
        <f>IF(C381&lt;&gt;"TBC",C381-1/12,"TBC")</f>
        <v>46166.375</v>
      </c>
      <c r="X381" s="50">
        <f>IF(C381&lt;&gt;"TBC",C381-1/8,"TBC")</f>
        <v>46166.333333333336</v>
      </c>
    </row>
    <row r="382" spans="1:24" ht="21" customHeight="1">
      <c r="U382" s="61"/>
    </row>
    <row r="386" spans="11:12" ht="21" customHeight="1">
      <c r="K386" s="62"/>
      <c r="L386" s="62"/>
    </row>
  </sheetData>
  <sheetProtection algorithmName="SHA-512" hashValue="16VmyZf0uIIDl1sC49VjR1jFX1X5gVhAiG7Caxu5txB7JqZr/1pG6mS3PPRW9sI8EjwEdOF2l660Xj0OCtN8Jw==" saltValue="nx/B9KTDhivBHqpFpumWrA==" spinCount="100000" sheet="1" objects="1" scenarios="1"/>
  <phoneticPr fontId="36" type="noConversion"/>
  <dataValidations xWindow="1092" yWindow="661" count="1">
    <dataValidation type="whole" allowBlank="1" showInputMessage="1" showErrorMessage="1" prompt="Input score between 0 and 10" sqref="K2:L381" xr:uid="{00000000-0002-0000-0500-000000000000}">
      <formula1>0</formula1>
      <formula2>10</formula2>
    </dataValidation>
  </dataValidations>
  <pageMargins left="0.7" right="0.7" top="0.75" bottom="0.75" header="0.3" footer="0.3"/>
  <pageSetup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5">
    <pageSetUpPr fitToPage="1"/>
  </sheetPr>
  <dimension ref="A1:IR801"/>
  <sheetViews>
    <sheetView showGridLines="0" zoomScale="55" zoomScaleNormal="55" workbookViewId="0"/>
  </sheetViews>
  <sheetFormatPr defaultColWidth="10" defaultRowHeight="26.25"/>
  <cols>
    <col min="1" max="1" width="15.140625" style="105" customWidth="1"/>
    <col min="2" max="2" width="10.28515625" style="105" bestFit="1" customWidth="1"/>
    <col min="3" max="3" width="12.5703125" style="105" customWidth="1"/>
    <col min="4" max="4" width="10" style="105"/>
    <col min="5" max="5" width="32.85546875" style="105" bestFit="1" customWidth="1"/>
    <col min="6" max="6" width="4.85546875" style="105" bestFit="1" customWidth="1"/>
    <col min="7" max="12" width="5.28515625" style="105" customWidth="1"/>
    <col min="13" max="13" width="15.140625" style="105" customWidth="1"/>
    <col min="14" max="14" width="10.28515625" style="105" bestFit="1" customWidth="1"/>
    <col min="15" max="15" width="12.5703125" style="105" customWidth="1"/>
    <col min="16" max="16" width="10" style="105"/>
    <col min="17" max="17" width="24.5703125" style="105" bestFit="1" customWidth="1"/>
    <col min="18" max="18" width="4.85546875" style="105" bestFit="1" customWidth="1"/>
    <col min="19" max="24" width="5.28515625" style="105" customWidth="1"/>
    <col min="25" max="25" width="15.140625" style="105" customWidth="1"/>
    <col min="26" max="26" width="10.28515625" style="105" bestFit="1" customWidth="1"/>
    <col min="27" max="27" width="12.5703125" style="105" customWidth="1"/>
    <col min="28" max="28" width="10" style="105"/>
    <col min="29" max="29" width="24.28515625" style="105" bestFit="1" customWidth="1"/>
    <col min="30" max="30" width="4.85546875" style="105" bestFit="1" customWidth="1"/>
    <col min="31" max="36" width="5.28515625" style="105" customWidth="1"/>
    <col min="37" max="37" width="15.140625" style="105" customWidth="1"/>
    <col min="38" max="38" width="10.28515625" style="105" bestFit="1" customWidth="1"/>
    <col min="39" max="39" width="12.5703125" style="105" customWidth="1"/>
    <col min="40" max="40" width="10" style="105"/>
    <col min="41" max="41" width="24.5703125" style="105" bestFit="1" customWidth="1"/>
    <col min="42" max="42" width="4.85546875" style="105" bestFit="1" customWidth="1"/>
    <col min="43" max="48" width="5.28515625" style="105" customWidth="1"/>
    <col min="49" max="49" width="15.140625" style="105" customWidth="1"/>
    <col min="50" max="50" width="10.28515625" style="105" bestFit="1" customWidth="1"/>
    <col min="51" max="51" width="12.5703125" style="105" customWidth="1"/>
    <col min="52" max="52" width="10" style="105"/>
    <col min="53" max="53" width="24.5703125" style="105" bestFit="1" customWidth="1"/>
    <col min="54" max="54" width="4.85546875" style="105" bestFit="1" customWidth="1"/>
    <col min="55" max="60" width="5.28515625" style="105" customWidth="1"/>
    <col min="61" max="61" width="15.140625" style="105" customWidth="1"/>
    <col min="62" max="62" width="10.28515625" style="105" bestFit="1" customWidth="1"/>
    <col min="63" max="63" width="12.5703125" style="105" customWidth="1"/>
    <col min="64" max="64" width="10" style="105"/>
    <col min="65" max="65" width="24.5703125" style="105" bestFit="1" customWidth="1"/>
    <col min="66" max="66" width="4.85546875" style="105" bestFit="1" customWidth="1"/>
    <col min="67" max="72" width="5.28515625" style="105" customWidth="1"/>
    <col min="73" max="73" width="15.140625" style="105" customWidth="1"/>
    <col min="74" max="74" width="10.140625" style="105" bestFit="1" customWidth="1"/>
    <col min="75" max="75" width="12.5703125" style="105" customWidth="1"/>
    <col min="76" max="76" width="10" style="105" customWidth="1"/>
    <col min="77" max="77" width="24.5703125" style="105" bestFit="1" customWidth="1"/>
    <col min="78" max="78" width="4.85546875" style="105" bestFit="1" customWidth="1"/>
    <col min="79" max="84" width="5.28515625" style="105" customWidth="1"/>
    <col min="85" max="85" width="15.140625" style="105" customWidth="1"/>
    <col min="86" max="86" width="10.140625" style="105" bestFit="1" customWidth="1"/>
    <col min="87" max="87" width="12.5703125" style="105" customWidth="1"/>
    <col min="88" max="88" width="10" style="105"/>
    <col min="89" max="89" width="24.5703125" style="105" bestFit="1" customWidth="1"/>
    <col min="90" max="90" width="4.85546875" style="105" bestFit="1" customWidth="1"/>
    <col min="91" max="96" width="5.28515625" style="105" customWidth="1"/>
    <col min="97" max="97" width="15.140625" style="105" customWidth="1"/>
    <col min="98" max="98" width="10.140625" style="105" bestFit="1" customWidth="1"/>
    <col min="99" max="99" width="12.5703125" style="105" customWidth="1"/>
    <col min="100" max="100" width="10" style="105"/>
    <col min="101" max="101" width="24.5703125" style="105" bestFit="1" customWidth="1"/>
    <col min="102" max="102" width="4.85546875" style="105" bestFit="1" customWidth="1"/>
    <col min="103" max="108" width="5.28515625" style="105" customWidth="1"/>
    <col min="109" max="109" width="15.140625" style="105" customWidth="1"/>
    <col min="110" max="110" width="10.140625" style="105" bestFit="1" customWidth="1"/>
    <col min="111" max="111" width="12.5703125" style="105" customWidth="1"/>
    <col min="112" max="112" width="10" style="105"/>
    <col min="113" max="113" width="24.5703125" style="105" bestFit="1" customWidth="1"/>
    <col min="114" max="114" width="4.85546875" style="105" bestFit="1" customWidth="1"/>
    <col min="115" max="120" width="5.28515625" style="105" customWidth="1"/>
    <col min="121" max="121" width="15.140625" style="105" customWidth="1"/>
    <col min="122" max="122" width="10.140625" style="105" bestFit="1" customWidth="1"/>
    <col min="123" max="123" width="12.5703125" style="105" customWidth="1"/>
    <col min="124" max="124" width="10" style="105"/>
    <col min="125" max="125" width="24.5703125" style="105" bestFit="1" customWidth="1"/>
    <col min="126" max="126" width="4.85546875" style="105" bestFit="1" customWidth="1"/>
    <col min="127" max="132" width="5.28515625" style="105" customWidth="1"/>
    <col min="133" max="133" width="15.140625" style="105" customWidth="1"/>
    <col min="134" max="134" width="10.140625" style="105" bestFit="1" customWidth="1"/>
    <col min="135" max="135" width="12.5703125" style="105" customWidth="1"/>
    <col min="136" max="136" width="10" style="105"/>
    <col min="137" max="137" width="24.5703125" style="105" bestFit="1" customWidth="1"/>
    <col min="138" max="138" width="4.85546875" style="105" bestFit="1" customWidth="1"/>
    <col min="139" max="144" width="5.28515625" style="105" customWidth="1"/>
    <col min="145" max="145" width="15.140625" style="105" customWidth="1"/>
    <col min="146" max="146" width="10.140625" style="105" bestFit="1" customWidth="1"/>
    <col min="147" max="147" width="12.5703125" style="105" customWidth="1"/>
    <col min="148" max="148" width="10" style="105"/>
    <col min="149" max="149" width="24.5703125" style="105" bestFit="1" customWidth="1"/>
    <col min="150" max="150" width="4.85546875" style="105" bestFit="1" customWidth="1"/>
    <col min="151" max="156" width="5.28515625" style="105" customWidth="1"/>
    <col min="157" max="157" width="15.140625" style="105" customWidth="1"/>
    <col min="158" max="158" width="10.140625" style="105" bestFit="1" customWidth="1"/>
    <col min="159" max="159" width="12.5703125" style="105" customWidth="1"/>
    <col min="160" max="160" width="10" style="105"/>
    <col min="161" max="161" width="24.5703125" style="105" bestFit="1" customWidth="1"/>
    <col min="162" max="162" width="4.85546875" style="105" bestFit="1" customWidth="1"/>
    <col min="163" max="168" width="5.28515625" style="105" customWidth="1"/>
    <col min="169" max="169" width="15.140625" style="105" customWidth="1"/>
    <col min="170" max="170" width="10.140625" style="105" bestFit="1" customWidth="1"/>
    <col min="171" max="171" width="12.5703125" style="105" customWidth="1"/>
    <col min="172" max="172" width="10" style="105"/>
    <col min="173" max="173" width="24.5703125" style="105" bestFit="1" customWidth="1"/>
    <col min="174" max="174" width="4.85546875" style="105" bestFit="1" customWidth="1"/>
    <col min="175" max="180" width="5.28515625" style="105" customWidth="1"/>
    <col min="181" max="181" width="15.140625" style="105" customWidth="1"/>
    <col min="182" max="182" width="10.140625" style="105" bestFit="1" customWidth="1"/>
    <col min="183" max="183" width="12.5703125" style="105" customWidth="1"/>
    <col min="184" max="184" width="10" style="105"/>
    <col min="185" max="185" width="24.5703125" style="105" bestFit="1" customWidth="1"/>
    <col min="186" max="186" width="4.85546875" style="105" bestFit="1" customWidth="1"/>
    <col min="187" max="192" width="5.28515625" style="105" customWidth="1"/>
    <col min="193" max="193" width="15.140625" style="105" customWidth="1"/>
    <col min="194" max="194" width="10.140625" style="105" bestFit="1" customWidth="1"/>
    <col min="195" max="195" width="12.5703125" style="105" customWidth="1"/>
    <col min="196" max="196" width="10" style="105"/>
    <col min="197" max="197" width="24.5703125" style="105" bestFit="1" customWidth="1"/>
    <col min="198" max="198" width="4.85546875" style="105" bestFit="1" customWidth="1"/>
    <col min="199" max="204" width="5.28515625" style="105" customWidth="1"/>
    <col min="205" max="205" width="15.140625" style="105" customWidth="1"/>
    <col min="206" max="206" width="10.140625" style="105" bestFit="1" customWidth="1"/>
    <col min="207" max="207" width="12.5703125" style="105" customWidth="1"/>
    <col min="208" max="208" width="10" style="105"/>
    <col min="209" max="209" width="24.5703125" style="105" bestFit="1" customWidth="1"/>
    <col min="210" max="210" width="4.85546875" style="105" bestFit="1" customWidth="1"/>
    <col min="211" max="216" width="5.28515625" style="105" customWidth="1"/>
    <col min="217" max="217" width="15.140625" style="105" customWidth="1"/>
    <col min="218" max="218" width="10.140625" style="105" bestFit="1" customWidth="1"/>
    <col min="219" max="219" width="12.5703125" style="105" customWidth="1"/>
    <col min="220" max="220" width="10" style="105"/>
    <col min="221" max="221" width="24.5703125" style="105" bestFit="1" customWidth="1"/>
    <col min="222" max="222" width="4.85546875" style="105" bestFit="1" customWidth="1"/>
    <col min="223" max="228" width="5.28515625" style="105" customWidth="1"/>
    <col min="229" max="229" width="15.140625" style="105" customWidth="1"/>
    <col min="230" max="230" width="10.140625" style="105" bestFit="1" customWidth="1"/>
    <col min="231" max="231" width="12.5703125" style="105" customWidth="1"/>
    <col min="232" max="232" width="10" style="105"/>
    <col min="233" max="233" width="24.5703125" style="105" bestFit="1" customWidth="1"/>
    <col min="234" max="234" width="4.85546875" style="105" bestFit="1" customWidth="1"/>
    <col min="235" max="240" width="5.28515625" style="105" customWidth="1"/>
    <col min="241" max="241" width="16.28515625" style="105" bestFit="1" customWidth="1"/>
    <col min="242" max="242" width="10.140625" style="105" bestFit="1" customWidth="1"/>
    <col min="243" max="243" width="12" style="105" bestFit="1" customWidth="1"/>
    <col min="244" max="244" width="10" style="105"/>
    <col min="245" max="245" width="34.140625" style="105" bestFit="1" customWidth="1"/>
    <col min="246" max="246" width="4.85546875" style="105" bestFit="1" customWidth="1"/>
    <col min="247" max="247" width="4.42578125" style="105" bestFit="1" customWidth="1"/>
    <col min="248" max="248" width="3.42578125" style="105" bestFit="1" customWidth="1"/>
    <col min="249" max="249" width="4.42578125" style="105" bestFit="1" customWidth="1"/>
    <col min="250" max="250" width="5.85546875" style="105" bestFit="1" customWidth="1"/>
    <col min="251" max="252" width="6.5703125" style="105" bestFit="1" customWidth="1"/>
    <col min="253" max="16384" width="10" style="105"/>
  </cols>
  <sheetData>
    <row r="1" spans="1:243" ht="46.5">
      <c r="A1" s="212"/>
      <c r="B1" s="212" t="s">
        <v>1</v>
      </c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391"/>
      <c r="N1" s="391" t="s">
        <v>2</v>
      </c>
      <c r="O1" s="391"/>
      <c r="P1" s="391"/>
      <c r="Q1" s="391"/>
      <c r="R1" s="391"/>
      <c r="S1" s="391"/>
      <c r="T1" s="391"/>
      <c r="U1" s="391"/>
      <c r="V1" s="391"/>
      <c r="W1" s="391"/>
      <c r="X1" s="391"/>
      <c r="Y1" s="416"/>
      <c r="Z1" s="416" t="s">
        <v>3</v>
      </c>
      <c r="AA1" s="416"/>
      <c r="AB1" s="416"/>
      <c r="AC1" s="416"/>
      <c r="AD1" s="416"/>
      <c r="AE1" s="416"/>
      <c r="AF1" s="416"/>
      <c r="AG1" s="416"/>
      <c r="AH1" s="416"/>
      <c r="AI1" s="416"/>
      <c r="AJ1" s="416"/>
      <c r="AK1" s="425"/>
      <c r="AL1" s="425" t="s">
        <v>107</v>
      </c>
      <c r="AM1" s="425"/>
      <c r="AN1" s="425"/>
      <c r="AO1" s="425"/>
      <c r="AP1" s="425"/>
      <c r="AQ1" s="425"/>
      <c r="AR1" s="425"/>
      <c r="AS1" s="425"/>
      <c r="AT1" s="425"/>
      <c r="AU1" s="425"/>
      <c r="AV1" s="425"/>
      <c r="AW1" s="217"/>
      <c r="AX1" s="217" t="s">
        <v>4</v>
      </c>
      <c r="AY1" s="217"/>
      <c r="AZ1" s="217"/>
      <c r="BA1" s="217"/>
      <c r="BB1" s="217"/>
      <c r="BC1" s="217"/>
      <c r="BD1" s="217"/>
      <c r="BE1" s="217"/>
      <c r="BF1" s="217"/>
      <c r="BG1" s="217"/>
      <c r="BH1" s="217"/>
      <c r="BI1" s="434"/>
      <c r="BJ1" s="434" t="s">
        <v>5</v>
      </c>
      <c r="BK1" s="434"/>
      <c r="BL1" s="434"/>
      <c r="BM1" s="434"/>
      <c r="BN1" s="434"/>
      <c r="BO1" s="434"/>
      <c r="BP1" s="434"/>
      <c r="BQ1" s="434"/>
      <c r="BR1" s="434"/>
      <c r="BS1" s="434"/>
      <c r="BT1" s="434"/>
      <c r="BU1" s="223"/>
      <c r="BV1" s="223" t="s">
        <v>6</v>
      </c>
      <c r="BW1" s="223"/>
      <c r="BX1" s="223"/>
      <c r="BY1" s="223"/>
      <c r="BZ1" s="223"/>
      <c r="CA1" s="223"/>
      <c r="CB1" s="223"/>
      <c r="CC1" s="223"/>
      <c r="CD1" s="223"/>
      <c r="CE1" s="223"/>
      <c r="CF1" s="223"/>
      <c r="CG1" s="392"/>
      <c r="CH1" s="392" t="s">
        <v>7</v>
      </c>
      <c r="CI1" s="392"/>
      <c r="CJ1" s="392"/>
      <c r="CK1" s="392"/>
      <c r="CL1" s="392"/>
      <c r="CM1" s="392"/>
      <c r="CN1" s="392"/>
      <c r="CO1" s="392"/>
      <c r="CP1" s="392"/>
      <c r="CQ1" s="392"/>
      <c r="CR1" s="392"/>
      <c r="CS1" s="229"/>
      <c r="CT1" s="229" t="s">
        <v>8</v>
      </c>
      <c r="CU1" s="229"/>
      <c r="CV1" s="229"/>
      <c r="CW1" s="229"/>
      <c r="CX1" s="229"/>
      <c r="CY1" s="229"/>
      <c r="CZ1" s="229"/>
      <c r="DA1" s="229"/>
      <c r="DB1" s="229"/>
      <c r="DC1" s="229"/>
      <c r="DD1" s="229"/>
      <c r="DE1" s="257"/>
      <c r="DF1" s="257" t="s">
        <v>108</v>
      </c>
      <c r="DG1" s="257"/>
      <c r="DH1" s="257"/>
      <c r="DI1" s="257"/>
      <c r="DJ1" s="257"/>
      <c r="DK1" s="257"/>
      <c r="DL1" s="257"/>
      <c r="DM1" s="257"/>
      <c r="DN1" s="257"/>
      <c r="DO1" s="257"/>
      <c r="DP1" s="257"/>
      <c r="DQ1" s="451"/>
      <c r="DR1" s="451" t="s">
        <v>444</v>
      </c>
      <c r="DS1" s="451"/>
      <c r="DT1" s="451"/>
      <c r="DU1" s="451"/>
      <c r="DV1" s="451"/>
      <c r="DW1" s="451"/>
      <c r="DX1" s="451"/>
      <c r="DY1" s="451"/>
      <c r="DZ1" s="451"/>
      <c r="EA1" s="451"/>
      <c r="EB1" s="451"/>
      <c r="EC1" s="237"/>
      <c r="ED1" s="237" t="s">
        <v>9</v>
      </c>
      <c r="EE1" s="237"/>
      <c r="EF1" s="237"/>
      <c r="EG1" s="237"/>
      <c r="EH1" s="237"/>
      <c r="EI1" s="237"/>
      <c r="EJ1" s="237"/>
      <c r="EK1" s="237"/>
      <c r="EL1" s="237"/>
      <c r="EM1" s="237"/>
      <c r="EN1" s="237"/>
      <c r="EO1" s="243"/>
      <c r="EP1" s="243" t="s">
        <v>10</v>
      </c>
      <c r="EQ1" s="243"/>
      <c r="ER1" s="243"/>
      <c r="ES1" s="243"/>
      <c r="ET1" s="243"/>
      <c r="EU1" s="243"/>
      <c r="EV1" s="243"/>
      <c r="EW1" s="243"/>
      <c r="EX1" s="243"/>
      <c r="EY1" s="243"/>
      <c r="EZ1" s="243"/>
      <c r="FA1" s="249"/>
      <c r="FB1" s="249" t="s">
        <v>11</v>
      </c>
      <c r="FC1" s="249"/>
      <c r="FD1" s="249"/>
      <c r="FE1" s="249"/>
      <c r="FF1" s="249"/>
      <c r="FG1" s="249"/>
      <c r="FH1" s="249"/>
      <c r="FI1" s="249"/>
      <c r="FJ1" s="249"/>
      <c r="FK1" s="249"/>
      <c r="FL1" s="249"/>
      <c r="FM1" s="257"/>
      <c r="FN1" s="257" t="s">
        <v>12</v>
      </c>
      <c r="FO1" s="257"/>
      <c r="FP1" s="257"/>
      <c r="FQ1" s="257"/>
      <c r="FR1" s="257"/>
      <c r="FS1" s="257"/>
      <c r="FT1" s="257"/>
      <c r="FU1" s="257"/>
      <c r="FV1" s="257"/>
      <c r="FW1" s="257"/>
      <c r="FX1" s="257"/>
      <c r="FY1" s="263"/>
      <c r="FZ1" s="263" t="s">
        <v>188</v>
      </c>
      <c r="GA1" s="263"/>
      <c r="GB1" s="263"/>
      <c r="GC1" s="263"/>
      <c r="GD1" s="263"/>
      <c r="GE1" s="263"/>
      <c r="GF1" s="263"/>
      <c r="GG1" s="263"/>
      <c r="GH1" s="263"/>
      <c r="GI1" s="263"/>
      <c r="GJ1" s="263"/>
      <c r="GK1" s="264"/>
      <c r="GL1" s="264" t="s">
        <v>13</v>
      </c>
      <c r="GM1" s="264"/>
      <c r="GN1" s="264"/>
      <c r="GO1" s="264"/>
      <c r="GP1" s="264"/>
      <c r="GQ1" s="264"/>
      <c r="GR1" s="264"/>
      <c r="GS1" s="264"/>
      <c r="GT1" s="264"/>
      <c r="GU1" s="264"/>
      <c r="GV1" s="264"/>
      <c r="GW1" s="452"/>
      <c r="GX1" s="452" t="s">
        <v>443</v>
      </c>
      <c r="GY1" s="452"/>
      <c r="GZ1" s="452"/>
      <c r="HA1" s="452"/>
      <c r="HB1" s="452"/>
      <c r="HC1" s="452"/>
      <c r="HD1" s="452"/>
      <c r="HE1" s="452"/>
      <c r="HF1" s="452"/>
      <c r="HG1" s="452"/>
      <c r="HH1" s="452"/>
      <c r="HI1" s="270"/>
      <c r="HJ1" s="270" t="s">
        <v>14</v>
      </c>
      <c r="HK1" s="270"/>
      <c r="HL1" s="270"/>
      <c r="HM1" s="270"/>
      <c r="HN1" s="270"/>
      <c r="HO1" s="270"/>
      <c r="HP1" s="270"/>
      <c r="HQ1" s="270"/>
      <c r="HR1" s="270"/>
      <c r="HS1" s="270"/>
      <c r="HT1" s="270"/>
      <c r="HU1" s="276"/>
      <c r="HV1" s="276" t="s">
        <v>15</v>
      </c>
      <c r="HW1" s="276"/>
      <c r="HX1" s="276"/>
      <c r="HY1" s="276"/>
      <c r="HZ1" s="276"/>
      <c r="IA1" s="276"/>
      <c r="IB1" s="276"/>
      <c r="IC1" s="276"/>
      <c r="ID1" s="276"/>
      <c r="IE1" s="276"/>
      <c r="IF1" s="276"/>
    </row>
    <row r="2" spans="1:243">
      <c r="A2" s="213" t="s">
        <v>16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381" t="s">
        <v>16</v>
      </c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417" t="s">
        <v>16</v>
      </c>
      <c r="Z2" s="412"/>
      <c r="AA2" s="412"/>
      <c r="AB2" s="412"/>
      <c r="AC2" s="412"/>
      <c r="AD2" s="412"/>
      <c r="AE2" s="412"/>
      <c r="AF2" s="412"/>
      <c r="AG2" s="412"/>
      <c r="AH2" s="412"/>
      <c r="AI2" s="412"/>
      <c r="AJ2" s="412"/>
      <c r="AK2" s="426" t="s">
        <v>16</v>
      </c>
      <c r="AL2" s="413"/>
      <c r="AM2" s="413"/>
      <c r="AN2" s="413"/>
      <c r="AO2" s="413"/>
      <c r="AP2" s="413"/>
      <c r="AQ2" s="413"/>
      <c r="AR2" s="413"/>
      <c r="AS2" s="413"/>
      <c r="AT2" s="413"/>
      <c r="AU2" s="413"/>
      <c r="AV2" s="413"/>
      <c r="AW2" s="218" t="s">
        <v>16</v>
      </c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435" t="s">
        <v>16</v>
      </c>
      <c r="BJ2" s="414"/>
      <c r="BK2" s="414"/>
      <c r="BL2" s="414"/>
      <c r="BM2" s="414"/>
      <c r="BN2" s="414"/>
      <c r="BO2" s="414"/>
      <c r="BP2" s="414"/>
      <c r="BQ2" s="414"/>
      <c r="BR2" s="414"/>
      <c r="BS2" s="414"/>
      <c r="BT2" s="414"/>
      <c r="BU2" s="224" t="s">
        <v>16</v>
      </c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393" t="s">
        <v>16</v>
      </c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230" t="s">
        <v>16</v>
      </c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443" t="s">
        <v>16</v>
      </c>
      <c r="DF2" s="143"/>
      <c r="DG2" s="143"/>
      <c r="DH2" s="143"/>
      <c r="DI2" s="143"/>
      <c r="DJ2" s="143"/>
      <c r="DK2" s="143"/>
      <c r="DL2" s="143"/>
      <c r="DM2" s="143"/>
      <c r="DN2" s="143"/>
      <c r="DO2" s="143"/>
      <c r="DP2" s="143"/>
      <c r="DQ2" s="381" t="s">
        <v>16</v>
      </c>
      <c r="DR2" s="380"/>
      <c r="DS2" s="380"/>
      <c r="DT2" s="380"/>
      <c r="DU2" s="380"/>
      <c r="DV2" s="380"/>
      <c r="DW2" s="380"/>
      <c r="DX2" s="380"/>
      <c r="DY2" s="380"/>
      <c r="DZ2" s="380"/>
      <c r="EA2" s="380"/>
      <c r="EB2" s="380"/>
      <c r="EC2" s="238" t="s">
        <v>16</v>
      </c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244" t="s">
        <v>16</v>
      </c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50" t="s">
        <v>16</v>
      </c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58" t="s">
        <v>16</v>
      </c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401" t="s">
        <v>16</v>
      </c>
      <c r="FZ2" s="390"/>
      <c r="GA2" s="390"/>
      <c r="GB2" s="390"/>
      <c r="GC2" s="390"/>
      <c r="GD2" s="390"/>
      <c r="GE2" s="390"/>
      <c r="GF2" s="390"/>
      <c r="GG2" s="390"/>
      <c r="GH2" s="390"/>
      <c r="GI2" s="390"/>
      <c r="GJ2" s="390"/>
      <c r="GK2" s="265" t="s">
        <v>16</v>
      </c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381" t="s">
        <v>16</v>
      </c>
      <c r="GX2" s="380"/>
      <c r="GY2" s="380"/>
      <c r="GZ2" s="380"/>
      <c r="HA2" s="380"/>
      <c r="HB2" s="380"/>
      <c r="HC2" s="380"/>
      <c r="HD2" s="380"/>
      <c r="HE2" s="380"/>
      <c r="HF2" s="380"/>
      <c r="HG2" s="380"/>
      <c r="HH2" s="380"/>
      <c r="HI2" s="271" t="s">
        <v>16</v>
      </c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77" t="s">
        <v>16</v>
      </c>
      <c r="HV2" s="31"/>
      <c r="HW2" s="31"/>
      <c r="HX2" s="31"/>
      <c r="HY2" s="31"/>
      <c r="HZ2" s="31"/>
      <c r="IA2" s="31"/>
      <c r="IB2" s="31"/>
      <c r="IC2" s="31"/>
      <c r="ID2" s="31"/>
      <c r="IE2" s="31"/>
      <c r="IF2" s="31"/>
    </row>
    <row r="3" spans="1:243">
      <c r="A3" s="66">
        <v>17</v>
      </c>
      <c r="B3" s="68" t="s">
        <v>436</v>
      </c>
      <c r="C3" s="214">
        <f ca="1">IFERROR(INDIRECT("fixtures!" &amp; Dashboard!J1 &amp;10) - Dashboard!K1/24,"TBC")</f>
        <v>45886.6875</v>
      </c>
      <c r="D3" s="6"/>
      <c r="E3" s="6" t="s">
        <v>11</v>
      </c>
      <c r="F3" s="6" t="s">
        <v>92</v>
      </c>
      <c r="G3" s="66" t="str">
        <f>IF(ISBLANK(fixtures!$L10),"",fixtures!$L10)</f>
        <v/>
      </c>
      <c r="H3" s="6" t="str">
        <f>IF(ISBLANK(fixtures!$L10),"",":")</f>
        <v/>
      </c>
      <c r="I3" s="68" t="str">
        <f>IF(ISBLANK(fixtures!$K10),"",fixtures!$K10)</f>
        <v/>
      </c>
      <c r="J3" s="6" t="str">
        <f>IF(ISBLANK(fixtures!$L10),"",IF(G3&gt;I3,"W",IF(G3=I3,"D","L")))</f>
        <v/>
      </c>
      <c r="K3" s="6"/>
      <c r="L3" s="6"/>
      <c r="M3" s="382">
        <v>16</v>
      </c>
      <c r="N3" s="383" t="s">
        <v>218</v>
      </c>
      <c r="O3" s="384">
        <f ca="1">IFERROR(INDIRECT("fixtures!" &amp; Dashboard!J1 &amp;3) - Dashboard!K1/24,"TBC")</f>
        <v>45885.520833333336</v>
      </c>
      <c r="P3" s="380"/>
      <c r="Q3" s="380" t="s">
        <v>12</v>
      </c>
      <c r="R3" s="380" t="s">
        <v>93</v>
      </c>
      <c r="S3" s="382" t="str">
        <f>IF(ISBLANK(fixtures!$K3),"",fixtures!$K3)</f>
        <v/>
      </c>
      <c r="T3" s="380" t="str">
        <f>IF(ISBLANK(fixtures!$L3),"",":")</f>
        <v/>
      </c>
      <c r="U3" s="383" t="str">
        <f>IF(ISBLANK(fixtures!$L3),"",fixtures!$L3)</f>
        <v/>
      </c>
      <c r="V3" s="380" t="str">
        <f>IF(ISBLANK(fixtures!$L3),"",IF(S3&gt;U3,"W",IF(S3=U3,"D","L")))</f>
        <v/>
      </c>
      <c r="W3" s="380"/>
      <c r="X3" s="380"/>
      <c r="Y3" s="418">
        <v>15</v>
      </c>
      <c r="Z3" s="419" t="s">
        <v>110</v>
      </c>
      <c r="AA3" s="420">
        <f ca="1">IFERROR(INDIRECT("fixtures!" &amp; Dashboard!J1 &amp;2) - Dashboard!K1/24,"TBC")</f>
        <v>45884.833333333336</v>
      </c>
      <c r="AB3" s="412"/>
      <c r="AC3" s="412" t="s">
        <v>9</v>
      </c>
      <c r="AD3" s="412" t="s">
        <v>92</v>
      </c>
      <c r="AE3" s="418" t="str">
        <f>IF(ISBLANK(fixtures!$L2),"",fixtures!$L2)</f>
        <v/>
      </c>
      <c r="AF3" s="412" t="str">
        <f>IF(ISBLANK(fixtures!$L2),"",":")</f>
        <v/>
      </c>
      <c r="AG3" s="419" t="str">
        <f>IF(ISBLANK(fixtures!$K2),"",fixtures!$K2)</f>
        <v/>
      </c>
      <c r="AH3" s="412" t="str">
        <f>IF(ISBLANK(fixtures!$L2),"",IF(AE3&gt;AG3,"W",IF(AE3=AG3,"D","L")))</f>
        <v/>
      </c>
      <c r="AI3" s="412"/>
      <c r="AJ3" s="412"/>
      <c r="AK3" s="427">
        <v>17</v>
      </c>
      <c r="AL3" s="428" t="s">
        <v>436</v>
      </c>
      <c r="AM3" s="429">
        <f ca="1">IFERROR(INDIRECT("fixtures!" &amp; Dashboard!J1 &amp;9) - Dashboard!K1/24,"TBC")</f>
        <v>45886.583333333336</v>
      </c>
      <c r="AN3" s="413"/>
      <c r="AO3" s="413" t="s">
        <v>188</v>
      </c>
      <c r="AP3" s="413" t="s">
        <v>92</v>
      </c>
      <c r="AQ3" s="427" t="str">
        <f>IF(ISBLANK(fixtures!$L9),"",fixtures!$L9)</f>
        <v/>
      </c>
      <c r="AR3" s="413" t="str">
        <f>IF(ISBLANK(fixtures!$L9),"",":")</f>
        <v/>
      </c>
      <c r="AS3" s="428" t="str">
        <f>IF(ISBLANK(fixtures!$K9),"",fixtures!$K9)</f>
        <v/>
      </c>
      <c r="AT3" s="413" t="str">
        <f>IF(ISBLANK(fixtures!$L9),"",IF(AQ3&gt;AS3,"W",IF(AQ3=AS3,"D","L")))</f>
        <v/>
      </c>
      <c r="AU3" s="413"/>
      <c r="AV3" s="413"/>
      <c r="AW3" s="71">
        <v>16</v>
      </c>
      <c r="AX3" s="73" t="s">
        <v>218</v>
      </c>
      <c r="AY3" s="219">
        <f ca="1">IFERROR(INDIRECT("fixtures!" &amp; Dashboard!J1 &amp;4) - Dashboard!K1/24,"TBC")</f>
        <v>45885.625</v>
      </c>
      <c r="AZ3" s="9"/>
      <c r="BA3" s="9" t="s">
        <v>108</v>
      </c>
      <c r="BB3" s="9" t="s">
        <v>93</v>
      </c>
      <c r="BC3" s="71" t="str">
        <f>IF(ISBLANK(fixtures!$K4),"",fixtures!$K4)</f>
        <v/>
      </c>
      <c r="BD3" s="9" t="str">
        <f>IF(ISBLANK(fixtures!$L4),"",":")</f>
        <v/>
      </c>
      <c r="BE3" s="73" t="str">
        <f>IF(ISBLANK(fixtures!$L4),"",fixtures!$L4)</f>
        <v/>
      </c>
      <c r="BF3" s="9" t="str">
        <f>IF(ISBLANK(fixtures!$L4),"",IF(BC3&gt;BE3,"W",IF(BC3=BE3,"D","L")))</f>
        <v/>
      </c>
      <c r="BG3" s="9"/>
      <c r="BH3" s="9"/>
      <c r="BI3" s="436">
        <v>16</v>
      </c>
      <c r="BJ3" s="437" t="s">
        <v>218</v>
      </c>
      <c r="BK3" s="438">
        <f ca="1">IFERROR(INDIRECT("fixtures!" &amp; Dashboard!J1 &amp;5) - Dashboard!K1/24,"TBC")</f>
        <v>45885.625</v>
      </c>
      <c r="BL3" s="414"/>
      <c r="BM3" s="414" t="s">
        <v>13</v>
      </c>
      <c r="BN3" s="414" t="s">
        <v>92</v>
      </c>
      <c r="BO3" s="436" t="str">
        <f>IF(ISBLANK(fixtures!$L5),"",fixtures!$L5)</f>
        <v/>
      </c>
      <c r="BP3" s="414" t="str">
        <f>IF(ISBLANK(fixtures!$L5),"",":")</f>
        <v/>
      </c>
      <c r="BQ3" s="437" t="str">
        <f>IF(ISBLANK(fixtures!$K5),"",fixtures!$K5)</f>
        <v/>
      </c>
      <c r="BR3" s="414" t="str">
        <f>IF(ISBLANK(fixtures!$L5),"",IF(BO3&gt;BQ3,"W",IF(BO3=BQ3,"D","L")))</f>
        <v/>
      </c>
      <c r="BS3" s="414"/>
      <c r="BT3" s="414"/>
      <c r="BU3" s="146">
        <v>17</v>
      </c>
      <c r="BV3" s="148" t="s">
        <v>436</v>
      </c>
      <c r="BW3" s="225">
        <f ca="1">IFERROR(INDIRECT("fixtures!" &amp; Dashboard!J1 &amp;8) - Dashboard!K1/24,"TBC")</f>
        <v>45886.583333333336</v>
      </c>
      <c r="BX3" s="13"/>
      <c r="BY3" s="13" t="s">
        <v>7</v>
      </c>
      <c r="BZ3" s="13" t="s">
        <v>93</v>
      </c>
      <c r="CA3" s="146" t="str">
        <f>IF(ISBLANK(fixtures!$K8),"",fixtures!$K8)</f>
        <v/>
      </c>
      <c r="CB3" s="13" t="str">
        <f>IF(ISBLANK(fixtures!$L8),"",":")</f>
        <v/>
      </c>
      <c r="CC3" s="148" t="str">
        <f>IF(ISBLANK(fixtures!$L8),"",fixtures!$L8)</f>
        <v/>
      </c>
      <c r="CD3" s="13" t="str">
        <f>IF(ISBLANK(fixtures!$L8),"",IF(CA3&gt;CC3,"W",IF(CA3=CC3,"D","L")))</f>
        <v/>
      </c>
      <c r="CE3" s="13"/>
      <c r="CF3" s="13"/>
      <c r="CG3" s="394">
        <v>17</v>
      </c>
      <c r="CH3" s="395" t="s">
        <v>436</v>
      </c>
      <c r="CI3" s="396">
        <f ca="1">IFERROR(INDIRECT("fixtures!" &amp; Dashboard!J1 &amp;8) - Dashboard!K1/24,"TBC")</f>
        <v>45886.583333333336</v>
      </c>
      <c r="CJ3" s="14"/>
      <c r="CK3" s="14" t="s">
        <v>6</v>
      </c>
      <c r="CL3" s="14" t="s">
        <v>92</v>
      </c>
      <c r="CM3" s="394" t="str">
        <f>IF(ISBLANK(fixtures!$L8),"",fixtures!$L8)</f>
        <v/>
      </c>
      <c r="CN3" s="14" t="str">
        <f>IF(ISBLANK(fixtures!$L8),"",":")</f>
        <v/>
      </c>
      <c r="CO3" s="395" t="str">
        <f>IF(ISBLANK(fixtures!$K8),"",fixtures!$K8)</f>
        <v/>
      </c>
      <c r="CP3" s="14" t="str">
        <f>IF(ISBLANK(fixtures!$L8),"",IF(CM3&gt;CO3,"W",IF(CM3=CO3,"D","L")))</f>
        <v/>
      </c>
      <c r="CQ3" s="14"/>
      <c r="CR3" s="14"/>
      <c r="CS3" s="231">
        <v>18</v>
      </c>
      <c r="CT3" s="232" t="s">
        <v>437</v>
      </c>
      <c r="CU3" s="233">
        <f ca="1">IFERROR(INDIRECT("fixtures!" &amp; Dashboard!J1 &amp;11) - Dashboard!K1/24,"TBC")</f>
        <v>45887.833333333336</v>
      </c>
      <c r="CV3" s="17"/>
      <c r="CW3" s="17" t="s">
        <v>444</v>
      </c>
      <c r="CX3" s="17" t="s">
        <v>92</v>
      </c>
      <c r="CY3" s="231" t="str">
        <f>IF(ISBLANK(fixtures!$L11),"",fixtures!$L11)</f>
        <v/>
      </c>
      <c r="CZ3" s="17" t="str">
        <f>IF(ISBLANK(fixtures!$L11),"",":")</f>
        <v/>
      </c>
      <c r="DA3" s="232" t="str">
        <f>IF(ISBLANK(fixtures!$K11),"",fixtures!$K11)</f>
        <v/>
      </c>
      <c r="DB3" s="17" t="str">
        <f>IF(ISBLANK(fixtures!$L11),"",IF(CY3&gt;DA3,"W",IF(CY3=DA3,"D","L")))</f>
        <v/>
      </c>
      <c r="DC3" s="17"/>
      <c r="DD3" s="17"/>
      <c r="DE3" s="444">
        <v>16</v>
      </c>
      <c r="DF3" s="445" t="s">
        <v>218</v>
      </c>
      <c r="DG3" s="446">
        <f ca="1">IFERROR(INDIRECT("fixtures!" &amp; Dashboard!J1 &amp;4) - Dashboard!K1/24,"TBC")</f>
        <v>45885.625</v>
      </c>
      <c r="DH3" s="143"/>
      <c r="DI3" s="143" t="s">
        <v>4</v>
      </c>
      <c r="DJ3" s="143" t="s">
        <v>92</v>
      </c>
      <c r="DK3" s="444" t="str">
        <f>IF(ISBLANK(fixtures!$L4),"",fixtures!$L4)</f>
        <v/>
      </c>
      <c r="DL3" s="143" t="str">
        <f>IF(ISBLANK(fixtures!$L4),"",":")</f>
        <v/>
      </c>
      <c r="DM3" s="445" t="str">
        <f>IF(ISBLANK(fixtures!$K4),"",fixtures!$K4)</f>
        <v/>
      </c>
      <c r="DN3" s="143" t="str">
        <f>IF(ISBLANK(fixtures!$L4),"",IF(DK3&gt;DM3,"W",IF(DK3=DM3,"D","L")))</f>
        <v/>
      </c>
      <c r="DO3" s="143"/>
      <c r="DP3" s="143"/>
      <c r="DQ3" s="382">
        <v>18</v>
      </c>
      <c r="DR3" s="383" t="s">
        <v>437</v>
      </c>
      <c r="DS3" s="384">
        <f ca="1">IFERROR(INDIRECT("fixtures!" &amp; Dashboard!J1 &amp;11) - Dashboard!K1/24,"TBC")</f>
        <v>45887.833333333336</v>
      </c>
      <c r="DT3" s="380"/>
      <c r="DU3" s="380" t="s">
        <v>8</v>
      </c>
      <c r="DV3" s="380" t="s">
        <v>93</v>
      </c>
      <c r="DW3" s="382" t="str">
        <f>IF(ISBLANK(fixtures!$K11),"",fixtures!$K11)</f>
        <v/>
      </c>
      <c r="DX3" s="380" t="str">
        <f>IF(ISBLANK(fixtures!$L11),"",":")</f>
        <v/>
      </c>
      <c r="DY3" s="383" t="str">
        <f>IF(ISBLANK(fixtures!$L11),"",fixtures!$L11)</f>
        <v/>
      </c>
      <c r="DZ3" s="380" t="str">
        <f>IF(ISBLANK(fixtures!$L11),"",IF(DW3&gt;DY3,"W",IF(DW3=DY3,"D","L")))</f>
        <v/>
      </c>
      <c r="EA3" s="380"/>
      <c r="EB3" s="380"/>
      <c r="EC3" s="207">
        <v>15</v>
      </c>
      <c r="ED3" s="209" t="s">
        <v>110</v>
      </c>
      <c r="EE3" s="239">
        <f ca="1">IFERROR(INDIRECT("fixtures!" &amp; Dashboard!J1 &amp;2) - Dashboard!K1/24,"TBC")</f>
        <v>45884.833333333336</v>
      </c>
      <c r="EF3" s="19"/>
      <c r="EG3" s="19" t="s">
        <v>3</v>
      </c>
      <c r="EH3" s="19" t="s">
        <v>93</v>
      </c>
      <c r="EI3" s="207" t="str">
        <f>IF(ISBLANK(fixtures!$K2),"",fixtures!$K2)</f>
        <v/>
      </c>
      <c r="EJ3" s="19" t="str">
        <f>IF(ISBLANK(fixtures!$L2),"",":")</f>
        <v/>
      </c>
      <c r="EK3" s="209" t="str">
        <f>IF(ISBLANK(fixtures!$L2),"",fixtures!$L2)</f>
        <v/>
      </c>
      <c r="EL3" s="19" t="str">
        <f>IF(ISBLANK(fixtures!$L2),"",IF(EI3&gt;EK3,"W",IF(EI3=EK3,"D","L")))</f>
        <v/>
      </c>
      <c r="EM3" s="19"/>
      <c r="EN3" s="19"/>
      <c r="EO3" s="80">
        <v>16</v>
      </c>
      <c r="EP3" s="82" t="s">
        <v>218</v>
      </c>
      <c r="EQ3" s="245">
        <f ca="1">IFERROR(INDIRECT("fixtures!" &amp; Dashboard!J1 &amp;7) - Dashboard!K1/24,"TBC")</f>
        <v>45885.729166666664</v>
      </c>
      <c r="ER3" s="21"/>
      <c r="ES3" s="21" t="s">
        <v>15</v>
      </c>
      <c r="ET3" s="21" t="s">
        <v>92</v>
      </c>
      <c r="EU3" s="80" t="str">
        <f>IF(ISBLANK(fixtures!$L7),"",fixtures!$L7)</f>
        <v/>
      </c>
      <c r="EV3" s="21" t="str">
        <f>IF(ISBLANK(fixtures!$L7),"",":")</f>
        <v/>
      </c>
      <c r="EW3" s="82" t="str">
        <f>IF(ISBLANK(fixtures!$K7),"",fixtures!$K7)</f>
        <v/>
      </c>
      <c r="EX3" s="21" t="str">
        <f>IF(ISBLANK(fixtures!$L7),"",IF(EU3&gt;EW3,"W",IF(EU3=EW3,"D","L")))</f>
        <v/>
      </c>
      <c r="EY3" s="21"/>
      <c r="EZ3" s="21"/>
      <c r="FA3" s="251">
        <v>17</v>
      </c>
      <c r="FB3" s="252" t="s">
        <v>436</v>
      </c>
      <c r="FC3" s="253">
        <f ca="1">IFERROR(INDIRECT("fixtures!" &amp; Dashboard!J1 &amp;10) - Dashboard!K1/24,"TBC")</f>
        <v>45886.6875</v>
      </c>
      <c r="FD3" s="23"/>
      <c r="FE3" s="23" t="s">
        <v>1</v>
      </c>
      <c r="FF3" s="23" t="s">
        <v>93</v>
      </c>
      <c r="FG3" s="251" t="str">
        <f>IF(ISBLANK(fixtures!$K10),"",fixtures!$K10)</f>
        <v/>
      </c>
      <c r="FH3" s="23" t="str">
        <f>IF(ISBLANK(fixtures!$L10),"",":")</f>
        <v/>
      </c>
      <c r="FI3" s="252" t="str">
        <f>IF(ISBLANK(fixtures!$L10),"",fixtures!$L10)</f>
        <v/>
      </c>
      <c r="FJ3" s="23" t="str">
        <f>IF(ISBLANK(fixtures!$L10),"",IF(FG3&gt;FI3,"W",IF(FG3=FI3,"D","L")))</f>
        <v/>
      </c>
      <c r="FK3" s="23"/>
      <c r="FL3" s="23"/>
      <c r="FM3" s="85">
        <v>16</v>
      </c>
      <c r="FN3" s="87" t="s">
        <v>218</v>
      </c>
      <c r="FO3" s="259">
        <f ca="1">IFERROR(INDIRECT("fixtures!" &amp; Dashboard!J1 &amp;3) - Dashboard!K1/24,"TBC")</f>
        <v>45885.520833333336</v>
      </c>
      <c r="FP3" s="25"/>
      <c r="FQ3" s="25" t="s">
        <v>2</v>
      </c>
      <c r="FR3" s="25" t="s">
        <v>92</v>
      </c>
      <c r="FS3" s="85" t="str">
        <f>IF(ISBLANK(fixtures!$L3),"",fixtures!$L3)</f>
        <v/>
      </c>
      <c r="FT3" s="25" t="str">
        <f>IF(ISBLANK(fixtures!$L3),"",":")</f>
        <v/>
      </c>
      <c r="FU3" s="87" t="str">
        <f>IF(ISBLANK(fixtures!$K3),"",fixtures!$K3)</f>
        <v/>
      </c>
      <c r="FV3" s="25" t="str">
        <f>IF(ISBLANK(fixtures!$L3),"",IF(FS3&gt;FU3,"W",IF(FS3=FU3,"D","L")))</f>
        <v/>
      </c>
      <c r="FW3" s="25"/>
      <c r="FX3" s="25"/>
      <c r="FY3" s="402">
        <v>17</v>
      </c>
      <c r="FZ3" s="403" t="s">
        <v>436</v>
      </c>
      <c r="GA3" s="404">
        <f ca="1">IFERROR(INDIRECT("fixtures!" &amp; Dashboard!J1 &amp;9) - Dashboard!K1/24,"TBC")</f>
        <v>45886.583333333336</v>
      </c>
      <c r="GB3" s="390"/>
      <c r="GC3" s="390" t="s">
        <v>107</v>
      </c>
      <c r="GD3" s="390" t="s">
        <v>93</v>
      </c>
      <c r="GE3" s="402" t="str">
        <f>IF(ISBLANK(fixtures!$K9),"",fixtures!$K9)</f>
        <v/>
      </c>
      <c r="GF3" s="390" t="str">
        <f>IF(ISBLANK(fixtures!$L9),"",":")</f>
        <v/>
      </c>
      <c r="GG3" s="403" t="str">
        <f>IF(ISBLANK(fixtures!$L9),"",fixtures!$L9)</f>
        <v/>
      </c>
      <c r="GH3" s="390" t="str">
        <f>IF(ISBLANK(fixtures!$L9),"",IF(GE3&gt;GG3,"W",IF(GE3=GG3,"D","L")))</f>
        <v/>
      </c>
      <c r="GI3" s="390"/>
      <c r="GJ3" s="390"/>
      <c r="GK3" s="89">
        <v>16</v>
      </c>
      <c r="GL3" s="90" t="s">
        <v>218</v>
      </c>
      <c r="GM3" s="266">
        <f ca="1">IFERROR(INDIRECT("fixtures!" &amp; Dashboard!J1 &amp;5) - Dashboard!K1/24,"TBC")</f>
        <v>45885.625</v>
      </c>
      <c r="GN3" s="27"/>
      <c r="GO3" s="27" t="s">
        <v>5</v>
      </c>
      <c r="GP3" s="27" t="s">
        <v>93</v>
      </c>
      <c r="GQ3" s="89" t="str">
        <f>IF(ISBLANK(fixtures!$K5),"",fixtures!$K5)</f>
        <v/>
      </c>
      <c r="GR3" s="27" t="str">
        <f>IF(ISBLANK(fixtures!$L5),"",":")</f>
        <v/>
      </c>
      <c r="GS3" s="90" t="str">
        <f>IF(ISBLANK(fixtures!$L5),"",fixtures!$L5)</f>
        <v/>
      </c>
      <c r="GT3" s="27" t="str">
        <f>IF(ISBLANK(fixtures!$L5),"",IF(GQ3&gt;GS3,"W",IF(GQ3=GS3,"D","L")))</f>
        <v/>
      </c>
      <c r="GU3" s="27"/>
      <c r="GV3" s="27"/>
      <c r="GW3" s="382">
        <v>16</v>
      </c>
      <c r="GX3" s="383" t="s">
        <v>218</v>
      </c>
      <c r="GY3" s="384">
        <f ca="1">IFERROR(INDIRECT("fixtures!" &amp; Dashboard!J1 &amp;6) - Dashboard!K1/24,"TBC")</f>
        <v>45885.625</v>
      </c>
      <c r="GZ3" s="380"/>
      <c r="HA3" s="380" t="s">
        <v>14</v>
      </c>
      <c r="HB3" s="380" t="s">
        <v>93</v>
      </c>
      <c r="HC3" s="382" t="str">
        <f>IF(ISBLANK(fixtures!$K6),"",fixtures!$K6)</f>
        <v/>
      </c>
      <c r="HD3" s="380" t="str">
        <f>IF(ISBLANK(fixtures!$L6),"",":")</f>
        <v/>
      </c>
      <c r="HE3" s="383" t="str">
        <f>IF(ISBLANK(fixtures!$L6),"",fixtures!$L6)</f>
        <v/>
      </c>
      <c r="HF3" s="380" t="str">
        <f>IF(ISBLANK(fixtures!$L6),"",IF(HC3&gt;HE3,"W",IF(HC3=HE3,"D","L")))</f>
        <v/>
      </c>
      <c r="HG3" s="380"/>
      <c r="HH3" s="380"/>
      <c r="HI3" s="92">
        <v>16</v>
      </c>
      <c r="HJ3" s="94" t="s">
        <v>218</v>
      </c>
      <c r="HK3" s="272">
        <f ca="1">IFERROR(INDIRECT("fixtures!" &amp; Dashboard!J1 &amp;6) - Dashboard!K1/24,"TBC")</f>
        <v>45885.625</v>
      </c>
      <c r="HL3" s="29"/>
      <c r="HM3" s="29" t="s">
        <v>443</v>
      </c>
      <c r="HN3" s="29" t="s">
        <v>92</v>
      </c>
      <c r="HO3" s="92" t="str">
        <f>IF(ISBLANK(fixtures!$L6),"",fixtures!$L6)</f>
        <v/>
      </c>
      <c r="HP3" s="29" t="str">
        <f>IF(ISBLANK(fixtures!$L6),"",":")</f>
        <v/>
      </c>
      <c r="HQ3" s="94" t="str">
        <f>IF(ISBLANK(fixtures!$K6),"",fixtures!$K6)</f>
        <v/>
      </c>
      <c r="HR3" s="29" t="str">
        <f>IF(ISBLANK(fixtures!$L6),"",IF(HO3&gt;HQ3,"W",IF(HO3=HQ3,"D","L")))</f>
        <v/>
      </c>
      <c r="HS3" s="29"/>
      <c r="HT3" s="29"/>
      <c r="HU3" s="97">
        <v>16</v>
      </c>
      <c r="HV3" s="99" t="s">
        <v>218</v>
      </c>
      <c r="HW3" s="278">
        <f ca="1">IFERROR(INDIRECT("fixtures!" &amp; Dashboard!J1 &amp;7) - Dashboard!K1/24,"TBC")</f>
        <v>45885.729166666664</v>
      </c>
      <c r="HX3" s="31"/>
      <c r="HY3" s="31" t="s">
        <v>10</v>
      </c>
      <c r="HZ3" s="31" t="s">
        <v>93</v>
      </c>
      <c r="IA3" s="97" t="str">
        <f>IF(ISBLANK(fixtures!$K7),"",fixtures!$K7)</f>
        <v/>
      </c>
      <c r="IB3" s="31" t="str">
        <f>IF(ISBLANK(fixtures!$L7),"",":")</f>
        <v/>
      </c>
      <c r="IC3" s="99" t="str">
        <f>IF(ISBLANK(fixtures!$L7),"",fixtures!$L7)</f>
        <v/>
      </c>
      <c r="ID3" s="31" t="str">
        <f>IF(ISBLANK(fixtures!$L7),"",IF(IA3&gt;IC3,"W",IF(IA3=IC3,"D","L")))</f>
        <v/>
      </c>
      <c r="IE3" s="31"/>
      <c r="IF3" s="31"/>
    </row>
    <row r="4" spans="1:243">
      <c r="A4" s="66">
        <v>23</v>
      </c>
      <c r="B4" s="68" t="s">
        <v>218</v>
      </c>
      <c r="C4" s="214">
        <f ca="1">IFERROR(INDIRECT("fixtures!" &amp; Dashboard!J1 &amp;17) - Dashboard!K1/24,"TBC")</f>
        <v>45892.729166666664</v>
      </c>
      <c r="D4" s="6"/>
      <c r="E4" s="322" t="s">
        <v>444</v>
      </c>
      <c r="F4" s="6" t="s">
        <v>93</v>
      </c>
      <c r="G4" s="66" t="str">
        <f>IF(ISBLANK(fixtures!$K17),"",fixtures!$K17)</f>
        <v/>
      </c>
      <c r="H4" s="6" t="str">
        <f>IF(ISBLANK(fixtures!$L17),"",":")</f>
        <v/>
      </c>
      <c r="I4" s="68" t="str">
        <f>IF(ISBLANK(fixtures!$L17),"",fixtures!$L17)</f>
        <v/>
      </c>
      <c r="J4" s="6" t="str">
        <f>IF(ISBLANK(fixtures!$L17),"",IF(G4&gt;I4,"W",IF(G4=I4,"D","L")))</f>
        <v/>
      </c>
      <c r="K4" s="6"/>
      <c r="L4" s="6"/>
      <c r="M4" s="382">
        <v>23</v>
      </c>
      <c r="N4" s="383" t="s">
        <v>218</v>
      </c>
      <c r="O4" s="384">
        <f ca="1">IFERROR(INDIRECT("fixtures!" &amp; Dashboard!J1 &amp;15) - Dashboard!K1/24,"TBC")</f>
        <v>45892.625</v>
      </c>
      <c r="P4" s="380"/>
      <c r="Q4" s="380" t="s">
        <v>107</v>
      </c>
      <c r="R4" s="380" t="s">
        <v>92</v>
      </c>
      <c r="S4" s="382" t="str">
        <f>IF(ISBLANK(fixtures!$L15),"",fixtures!$L15)</f>
        <v/>
      </c>
      <c r="T4" s="380" t="str">
        <f>IF(ISBLANK(fixtures!$L15),"",":")</f>
        <v/>
      </c>
      <c r="U4" s="383" t="str">
        <f>IF(ISBLANK(fixtures!$K15),"",fixtures!$K15)</f>
        <v/>
      </c>
      <c r="V4" s="380" t="str">
        <f>IF(ISBLANK(fixtures!$L15),"",IF(S4&gt;U4,"W",IF(S4=U4,"D","L")))</f>
        <v/>
      </c>
      <c r="W4" s="380"/>
      <c r="X4" s="380"/>
      <c r="Y4" s="418">
        <v>23</v>
      </c>
      <c r="Z4" s="412" t="s">
        <v>218</v>
      </c>
      <c r="AA4" s="420">
        <f ca="1">IFERROR(INDIRECT("fixtures!" &amp; Dashboard!J1 &amp;14) - Dashboard!K1/24,"TBC")</f>
        <v>45892.625</v>
      </c>
      <c r="AB4" s="412"/>
      <c r="AC4" s="412" t="s">
        <v>15</v>
      </c>
      <c r="AD4" s="412" t="s">
        <v>93</v>
      </c>
      <c r="AE4" s="418" t="str">
        <f>IF(ISBLANK(fixtures!$K14),"",fixtures!$K14)</f>
        <v/>
      </c>
      <c r="AF4" s="412" t="str">
        <f>IF(ISBLANK(fixtures!$L14),"",":")</f>
        <v/>
      </c>
      <c r="AG4" s="419" t="str">
        <f>IF(ISBLANK(fixtures!$L14),"",fixtures!$L14)</f>
        <v/>
      </c>
      <c r="AH4" s="412" t="str">
        <f>IF(ISBLANK(fixtures!$L14),"",IF(AE4&gt;AG4,"W",IF(AE4=AG4,"D","L")))</f>
        <v/>
      </c>
      <c r="AI4" s="412"/>
      <c r="AJ4" s="412"/>
      <c r="AK4" s="427">
        <v>23</v>
      </c>
      <c r="AL4" s="428" t="s">
        <v>218</v>
      </c>
      <c r="AM4" s="429">
        <f ca="1">IFERROR(INDIRECT("fixtures!" &amp; Dashboard!J1 &amp;15) - Dashboard!K1/24,"TBC")</f>
        <v>45892.625</v>
      </c>
      <c r="AN4" s="413"/>
      <c r="AO4" s="413" t="s">
        <v>2</v>
      </c>
      <c r="AP4" s="413" t="s">
        <v>93</v>
      </c>
      <c r="AQ4" s="427" t="str">
        <f>IF(ISBLANK(fixtures!$K15),"",fixtures!$K15)</f>
        <v/>
      </c>
      <c r="AR4" s="413" t="str">
        <f>IF(ISBLANK(fixtures!$L15),"",":")</f>
        <v/>
      </c>
      <c r="AS4" s="428" t="str">
        <f>IF(ISBLANK(fixtures!$L15),"",fixtures!$L15)</f>
        <v/>
      </c>
      <c r="AT4" s="413" t="str">
        <f>IF(ISBLANK(fixtures!$L15),"",IF(AQ4&gt;AS4,"W",IF(AQ4=AS4,"D","L")))</f>
        <v/>
      </c>
      <c r="AU4" s="413"/>
      <c r="AV4" s="413"/>
      <c r="AW4" s="71">
        <v>24</v>
      </c>
      <c r="AX4" s="73" t="s">
        <v>436</v>
      </c>
      <c r="AY4" s="219">
        <f ca="1">IFERROR(INDIRECT("fixtures!" &amp; Dashboard!J1 &amp;19) - Dashboard!K1/24,"TBC")</f>
        <v>45893.583333333336</v>
      </c>
      <c r="AZ4" s="9"/>
      <c r="BA4" s="9" t="s">
        <v>8</v>
      </c>
      <c r="BB4" s="9" t="s">
        <v>92</v>
      </c>
      <c r="BC4" s="71" t="str">
        <f>IF(ISBLANK(fixtures!$L19),"",fixtures!$L19)</f>
        <v/>
      </c>
      <c r="BD4" s="9" t="str">
        <f>IF(ISBLANK(fixtures!$L19),"",":")</f>
        <v/>
      </c>
      <c r="BE4" s="73" t="str">
        <f>IF(ISBLANK(fixtures!$K19),"",fixtures!$K19)</f>
        <v/>
      </c>
      <c r="BF4" s="9" t="str">
        <f>IF(ISBLANK(fixtures!$L19),"",IF(BC4&gt;BE4,"W",IF(BC4=BE4,"D","L")))</f>
        <v/>
      </c>
      <c r="BG4" s="9"/>
      <c r="BH4" s="9"/>
      <c r="BI4" s="436">
        <v>23</v>
      </c>
      <c r="BJ4" s="437" t="s">
        <v>218</v>
      </c>
      <c r="BK4" s="438">
        <f ca="1">IFERROR(INDIRECT("fixtures!" &amp; Dashboard!J1 &amp;16) - Dashboard!K1/24,"TBC")</f>
        <v>45892.625</v>
      </c>
      <c r="BL4" s="414"/>
      <c r="BM4" s="414" t="s">
        <v>443</v>
      </c>
      <c r="BN4" s="414" t="s">
        <v>93</v>
      </c>
      <c r="BO4" s="436" t="str">
        <f>IF(ISBLANK(fixtures!$K16),"",fixtures!$K16)</f>
        <v/>
      </c>
      <c r="BP4" s="414" t="str">
        <f>IF(ISBLANK(fixtures!$L16),"",":")</f>
        <v/>
      </c>
      <c r="BQ4" s="437" t="str">
        <f>IF(ISBLANK(fixtures!$L16),"",fixtures!$L16)</f>
        <v/>
      </c>
      <c r="BR4" s="414" t="str">
        <f>IF(ISBLANK(fixtures!$L16),"",IF(BO4&gt;BQ4,"W",IF(BO4=BQ4,"D","L")))</f>
        <v/>
      </c>
      <c r="BS4" s="414"/>
      <c r="BT4" s="414"/>
      <c r="BU4" s="146">
        <v>22</v>
      </c>
      <c r="BV4" s="148" t="s">
        <v>110</v>
      </c>
      <c r="BW4" s="225">
        <f ca="1">IFERROR(INDIRECT("fixtures!" &amp; Dashboard!J1 &amp;12) - Dashboard!K1/24,"TBC")</f>
        <v>45891.833333333336</v>
      </c>
      <c r="BX4" s="13"/>
      <c r="BY4" s="13" t="s">
        <v>14</v>
      </c>
      <c r="BZ4" s="13" t="s">
        <v>92</v>
      </c>
      <c r="CA4" s="146" t="str">
        <f>IF(ISBLANK(fixtures!$L12),"",fixtures!$L12)</f>
        <v/>
      </c>
      <c r="CB4" s="13" t="str">
        <f>IF(ISBLANK(fixtures!$L12),"",":")</f>
        <v/>
      </c>
      <c r="CC4" s="148" t="str">
        <f>IF(ISBLANK(fixtures!$K12),"",fixtures!$K12)</f>
        <v/>
      </c>
      <c r="CD4" s="13" t="str">
        <f>IF(ISBLANK(fixtures!$L12),"",IF(CA4&gt;CC4,"W",IF(CA4=CC4,"D","L")))</f>
        <v/>
      </c>
      <c r="CE4" s="13"/>
      <c r="CF4" s="13"/>
      <c r="CG4" s="394">
        <v>24</v>
      </c>
      <c r="CH4" s="395" t="s">
        <v>436</v>
      </c>
      <c r="CI4" s="396">
        <f ca="1">IFERROR(INDIRECT("fixtures!" &amp; Dashboard!J1 &amp;18) - Dashboard!K1/24,"TBC")</f>
        <v>45893.583333333336</v>
      </c>
      <c r="CJ4" s="14"/>
      <c r="CK4" s="14" t="s">
        <v>188</v>
      </c>
      <c r="CL4" s="14" t="s">
        <v>93</v>
      </c>
      <c r="CM4" s="394" t="str">
        <f>IF(ISBLANK(fixtures!$K18),"",fixtures!$K18)</f>
        <v/>
      </c>
      <c r="CN4" s="14" t="str">
        <f>IF(ISBLANK(fixtures!$L18),"",":")</f>
        <v/>
      </c>
      <c r="CO4" s="395" t="str">
        <f>IF(ISBLANK(fixtures!$L18),"",fixtures!$L18)</f>
        <v/>
      </c>
      <c r="CP4" s="14" t="str">
        <f>IF(ISBLANK(fixtures!$L18),"",IF(CM4&gt;CO4,"W",IF(CM4=CO4,"D","L")))</f>
        <v/>
      </c>
      <c r="CQ4" s="14"/>
      <c r="CR4" s="14"/>
      <c r="CS4" s="231">
        <v>24</v>
      </c>
      <c r="CT4" s="232" t="s">
        <v>436</v>
      </c>
      <c r="CU4" s="233">
        <f ca="1">IFERROR(INDIRECT("fixtures!" &amp; Dashboard!J1 &amp;19) - Dashboard!K1/24,"TBC")</f>
        <v>45893.583333333336</v>
      </c>
      <c r="CV4" s="17"/>
      <c r="CW4" s="17" t="s">
        <v>4</v>
      </c>
      <c r="CX4" s="17" t="s">
        <v>93</v>
      </c>
      <c r="CY4" s="231" t="str">
        <f>IF(ISBLANK(fixtures!$K19),"",fixtures!$K19)</f>
        <v/>
      </c>
      <c r="CZ4" s="17" t="str">
        <f>IF(ISBLANK(fixtures!$L19),"",":")</f>
        <v/>
      </c>
      <c r="DA4" s="232" t="str">
        <f>IF(ISBLANK(fixtures!$L19),"",fixtures!$L19)</f>
        <v/>
      </c>
      <c r="DB4" s="17" t="str">
        <f>IF(ISBLANK(fixtures!$L19),"",IF(CY4&gt;DA4,"W",IF(CY4=DA4,"D","L")))</f>
        <v/>
      </c>
      <c r="DC4" s="17"/>
      <c r="DD4" s="17"/>
      <c r="DE4" s="444">
        <v>24</v>
      </c>
      <c r="DF4" s="445" t="s">
        <v>436</v>
      </c>
      <c r="DG4" s="446">
        <f ca="1">IFERROR(INDIRECT("fixtures!" &amp; Dashboard!J1 &amp;20) - Dashboard!K1/24,"TBC")</f>
        <v>45893.6875</v>
      </c>
      <c r="DH4" s="143"/>
      <c r="DI4" s="143" t="s">
        <v>11</v>
      </c>
      <c r="DJ4" s="143" t="s">
        <v>93</v>
      </c>
      <c r="DK4" s="444" t="str">
        <f>IF(ISBLANK(fixtures!$K20),"",fixtures!$K20)</f>
        <v/>
      </c>
      <c r="DL4" s="143" t="str">
        <f>IF(ISBLANK(fixtures!$L20),"",":")</f>
        <v/>
      </c>
      <c r="DM4" s="445" t="str">
        <f>IF(ISBLANK(fixtures!$L20),"",fixtures!$L20)</f>
        <v/>
      </c>
      <c r="DN4" s="143" t="str">
        <f>IF(ISBLANK(fixtures!$L20),"",IF(DK4&gt;DM4,"W",IF(DK4=DM4,"D","L")))</f>
        <v/>
      </c>
      <c r="DO4" s="143"/>
      <c r="DP4" s="143"/>
      <c r="DQ4" s="382">
        <v>23</v>
      </c>
      <c r="DR4" s="383" t="s">
        <v>218</v>
      </c>
      <c r="DS4" s="384">
        <f ca="1">IFERROR(INDIRECT("fixtures!" &amp; Dashboard!J1 &amp;17) - Dashboard!K1/24,"TBC")</f>
        <v>45892.729166666664</v>
      </c>
      <c r="DT4" s="380"/>
      <c r="DU4" s="380" t="s">
        <v>1</v>
      </c>
      <c r="DV4" s="380" t="s">
        <v>92</v>
      </c>
      <c r="DW4" s="382" t="str">
        <f>IF(ISBLANK(fixtures!$L17),"",fixtures!$L17)</f>
        <v/>
      </c>
      <c r="DX4" s="380" t="str">
        <f>IF(ISBLANK(fixtures!$L17),"",":")</f>
        <v/>
      </c>
      <c r="DY4" s="383" t="str">
        <f>IF(ISBLANK(fixtures!$K17),"",fixtures!$K17)</f>
        <v/>
      </c>
      <c r="DZ4" s="380" t="str">
        <f>IF(ISBLANK(fixtures!$L17),"",IF(DW4&gt;DY4,"W",IF(DW4=DY4,"D","L")))</f>
        <v/>
      </c>
      <c r="EA4" s="380"/>
      <c r="EB4" s="380"/>
      <c r="EC4" s="207">
        <v>25</v>
      </c>
      <c r="ED4" s="209" t="s">
        <v>437</v>
      </c>
      <c r="EE4" s="239">
        <f ca="1">IFERROR(INDIRECT("fixtures!" &amp; Dashboard!J1 &amp;21) - Dashboard!K1/24,"TBC")</f>
        <v>45894.833333333336</v>
      </c>
      <c r="EF4" s="19"/>
      <c r="EG4" s="19" t="s">
        <v>12</v>
      </c>
      <c r="EH4" s="19" t="s">
        <v>92</v>
      </c>
      <c r="EI4" s="207" t="str">
        <f>IF(ISBLANK(fixtures!$L21),"",fixtures!$L21)</f>
        <v/>
      </c>
      <c r="EJ4" s="19" t="str">
        <f>IF(ISBLANK(fixtures!$L21),"",":")</f>
        <v/>
      </c>
      <c r="EK4" s="209" t="str">
        <f>IF(ISBLANK(fixtures!$K21),"",fixtures!$K21)</f>
        <v/>
      </c>
      <c r="EL4" s="19" t="str">
        <f>IF(ISBLANK(fixtures!$L21),"",IF(EI4&gt;EK4,"W",IF(EI4=EK4,"D","L")))</f>
        <v/>
      </c>
      <c r="EM4" s="19"/>
      <c r="EN4" s="19"/>
      <c r="EO4" s="80">
        <v>23</v>
      </c>
      <c r="EP4" s="82" t="s">
        <v>218</v>
      </c>
      <c r="EQ4" s="245">
        <f ca="1">IFERROR(INDIRECT("fixtures!" &amp; Dashboard!J1 &amp;13) - Dashboard!K1/24,"TBC")</f>
        <v>45892.520833333336</v>
      </c>
      <c r="ER4" s="21"/>
      <c r="ES4" s="21" t="s">
        <v>13</v>
      </c>
      <c r="ET4" s="21" t="s">
        <v>93</v>
      </c>
      <c r="EU4" s="80" t="str">
        <f>IF(ISBLANK(fixtures!$K13),"",fixtures!$K13)</f>
        <v/>
      </c>
      <c r="EV4" s="21" t="str">
        <f>IF(ISBLANK(fixtures!$L13),"",":")</f>
        <v/>
      </c>
      <c r="EW4" s="82" t="str">
        <f>IF(ISBLANK(fixtures!$L13),"",fixtures!$L13)</f>
        <v/>
      </c>
      <c r="EX4" s="21" t="str">
        <f>IF(ISBLANK(fixtures!$L13),"",IF(EU4&gt;EW4,"W",IF(EU4=EW4,"D","L")))</f>
        <v/>
      </c>
      <c r="EY4" s="21"/>
      <c r="EZ4" s="21"/>
      <c r="FA4" s="251">
        <v>24</v>
      </c>
      <c r="FB4" s="252" t="s">
        <v>436</v>
      </c>
      <c r="FC4" s="253">
        <f ca="1">IFERROR(INDIRECT("fixtures!" &amp; Dashboard!J1 &amp;20) - Dashboard!K1/24,"TBC")</f>
        <v>45893.6875</v>
      </c>
      <c r="FD4" s="23"/>
      <c r="FE4" s="23" t="s">
        <v>108</v>
      </c>
      <c r="FF4" s="23" t="s">
        <v>92</v>
      </c>
      <c r="FG4" s="251" t="str">
        <f>IF(ISBLANK(fixtures!$L20),"",fixtures!$L20)</f>
        <v/>
      </c>
      <c r="FH4" s="23" t="str">
        <f>IF(ISBLANK(fixtures!$L20),"",":")</f>
        <v/>
      </c>
      <c r="FI4" s="252" t="str">
        <f>IF(ISBLANK(fixtures!$K20),"",fixtures!$K20)</f>
        <v/>
      </c>
      <c r="FJ4" s="23" t="str">
        <f>IF(ISBLANK(fixtures!$L20),"",IF(FG4&gt;FI4,"W",IF(FG4=FI4,"D","L")))</f>
        <v/>
      </c>
      <c r="FK4" s="23"/>
      <c r="FL4" s="23"/>
      <c r="FM4" s="85">
        <v>25</v>
      </c>
      <c r="FN4" s="87" t="s">
        <v>437</v>
      </c>
      <c r="FO4" s="259">
        <f ca="1">IFERROR(INDIRECT("fixtures!" &amp; Dashboard!J1 &amp;21) - Dashboard!K1/24,"TBC")</f>
        <v>45894.833333333336</v>
      </c>
      <c r="FP4" s="25"/>
      <c r="FQ4" s="25" t="s">
        <v>9</v>
      </c>
      <c r="FR4" s="25" t="s">
        <v>93</v>
      </c>
      <c r="FS4" s="85" t="str">
        <f>IF(ISBLANK(fixtures!$K21),"",fixtures!$K21)</f>
        <v/>
      </c>
      <c r="FT4" s="25" t="str">
        <f>IF(ISBLANK(fixtures!$L21),"",":")</f>
        <v/>
      </c>
      <c r="FU4" s="87" t="str">
        <f>IF(ISBLANK(fixtures!$L21),"",fixtures!$L21)</f>
        <v/>
      </c>
      <c r="FV4" s="25" t="str">
        <f>IF(ISBLANK(fixtures!$L21),"",IF(FS4&gt;FU4,"W",IF(FS4=FU4,"D","L")))</f>
        <v/>
      </c>
      <c r="FW4" s="25"/>
      <c r="FX4" s="25"/>
      <c r="FY4" s="402">
        <v>24</v>
      </c>
      <c r="FZ4" s="390" t="s">
        <v>436</v>
      </c>
      <c r="GA4" s="404">
        <f ca="1">IFERROR(INDIRECT("fixtures!" &amp; Dashboard!J1 &amp;18) - Dashboard!K1/24,"TBC")</f>
        <v>45893.583333333336</v>
      </c>
      <c r="GB4" s="390"/>
      <c r="GC4" s="390" t="s">
        <v>7</v>
      </c>
      <c r="GD4" s="390" t="s">
        <v>92</v>
      </c>
      <c r="GE4" s="402" t="str">
        <f>IF(ISBLANK(fixtures!$L18),"",fixtures!$L18)</f>
        <v/>
      </c>
      <c r="GF4" s="390" t="str">
        <f>IF(ISBLANK(fixtures!$L18),"",":")</f>
        <v/>
      </c>
      <c r="GG4" s="403" t="str">
        <f>IF(ISBLANK(fixtures!$K18),"",fixtures!$K18)</f>
        <v/>
      </c>
      <c r="GH4" s="390" t="str">
        <f>IF(ISBLANK(fixtures!$L18),"",IF(GE4&gt;GG4,"W",IF(GE4=GG4,"D","L")))</f>
        <v/>
      </c>
      <c r="GI4" s="390"/>
      <c r="GJ4" s="390"/>
      <c r="GK4" s="89">
        <v>23</v>
      </c>
      <c r="GL4" s="90" t="s">
        <v>218</v>
      </c>
      <c r="GM4" s="266">
        <f ca="1">IFERROR(INDIRECT("fixtures!" &amp; Dashboard!J1 &amp;13) - Dashboard!K1/24,"TBC")</f>
        <v>45892.520833333336</v>
      </c>
      <c r="GN4" s="27"/>
      <c r="GO4" s="27" t="s">
        <v>10</v>
      </c>
      <c r="GP4" s="27" t="s">
        <v>92</v>
      </c>
      <c r="GQ4" s="89" t="str">
        <f>IF(ISBLANK(fixtures!$L13),"",fixtures!$L13)</f>
        <v/>
      </c>
      <c r="GR4" s="27" t="str">
        <f>IF(ISBLANK(fixtures!$L13),"",":")</f>
        <v/>
      </c>
      <c r="GS4" s="90" t="str">
        <f>IF(ISBLANK(fixtures!$K13),"",fixtures!$K13)</f>
        <v/>
      </c>
      <c r="GT4" s="27" t="str">
        <f>IF(ISBLANK(fixtures!$L13),"",IF(GQ4&gt;GS4,"W",IF(GQ4=GS4,"D","L")))</f>
        <v/>
      </c>
      <c r="GU4" s="27"/>
      <c r="GV4" s="27"/>
      <c r="GW4" s="382">
        <v>23</v>
      </c>
      <c r="GX4" s="383" t="s">
        <v>218</v>
      </c>
      <c r="GY4" s="384">
        <f ca="1">IFERROR(INDIRECT("fixtures!" &amp; Dashboard!J1 &amp;16) - Dashboard!K1/24,"TBC")</f>
        <v>45892.625</v>
      </c>
      <c r="GZ4" s="380"/>
      <c r="HA4" s="380" t="s">
        <v>5</v>
      </c>
      <c r="HB4" s="380" t="s">
        <v>92</v>
      </c>
      <c r="HC4" s="382" t="str">
        <f>IF(ISBLANK(fixtures!$L16),"",fixtures!$L16)</f>
        <v/>
      </c>
      <c r="HD4" s="380" t="str">
        <f>IF(ISBLANK(fixtures!$L16),"",":")</f>
        <v/>
      </c>
      <c r="HE4" s="383" t="str">
        <f>IF(ISBLANK(fixtures!$K16),"",fixtures!$K16)</f>
        <v/>
      </c>
      <c r="HF4" s="380" t="str">
        <f>IF(ISBLANK(fixtures!$L16),"",IF(HC4&gt;HE4,"W",IF(HC4=HE4,"D","L")))</f>
        <v/>
      </c>
      <c r="HG4" s="380"/>
      <c r="HH4" s="380"/>
      <c r="HI4" s="92">
        <v>22</v>
      </c>
      <c r="HJ4" s="29" t="s">
        <v>110</v>
      </c>
      <c r="HK4" s="272">
        <f ca="1">IFERROR(INDIRECT("fixtures!" &amp; Dashboard!J1 &amp;12) - Dashboard!K1/24,"TBC")</f>
        <v>45891.833333333336</v>
      </c>
      <c r="HL4" s="29"/>
      <c r="HM4" s="29" t="s">
        <v>6</v>
      </c>
      <c r="HN4" s="29" t="s">
        <v>93</v>
      </c>
      <c r="HO4" s="92" t="str">
        <f>IF(ISBLANK(fixtures!$K12),"",fixtures!$K12)</f>
        <v/>
      </c>
      <c r="HP4" s="29" t="str">
        <f>IF(ISBLANK(fixtures!$L12),"",":")</f>
        <v/>
      </c>
      <c r="HQ4" s="94" t="str">
        <f>IF(ISBLANK(fixtures!$L12),"",fixtures!$L12)</f>
        <v/>
      </c>
      <c r="HR4" s="29" t="str">
        <f>IF(ISBLANK(fixtures!$L12),"",IF(HO4&gt;HQ4,"W",IF(HO4=HQ4,"D","L")))</f>
        <v/>
      </c>
      <c r="HS4" s="29"/>
      <c r="HT4" s="29"/>
      <c r="HU4" s="97">
        <v>23</v>
      </c>
      <c r="HV4" s="99" t="s">
        <v>218</v>
      </c>
      <c r="HW4" s="278">
        <f ca="1">IFERROR(INDIRECT("fixtures!" &amp; Dashboard!J1 &amp;14) - Dashboard!K1/24,"TBC")</f>
        <v>45892.625</v>
      </c>
      <c r="HX4" s="31"/>
      <c r="HY4" s="31" t="s">
        <v>3</v>
      </c>
      <c r="HZ4" s="31" t="s">
        <v>92</v>
      </c>
      <c r="IA4" s="97" t="str">
        <f>IF(ISBLANK(fixtures!$L14),"",fixtures!$L14)</f>
        <v/>
      </c>
      <c r="IB4" s="31" t="str">
        <f>IF(ISBLANK(fixtures!$L14),"",":")</f>
        <v/>
      </c>
      <c r="IC4" s="99" t="str">
        <f>IF(ISBLANK(fixtures!$K14),"",fixtures!$K14)</f>
        <v/>
      </c>
      <c r="ID4" s="31" t="str">
        <f>IF(ISBLANK(fixtures!$L14),"",IF(IA4&gt;IC4,"W",IF(IA4=IC4,"D","L")))</f>
        <v/>
      </c>
      <c r="IE4" s="31"/>
      <c r="IF4" s="31"/>
    </row>
    <row r="5" spans="1:243">
      <c r="A5" s="66">
        <v>31</v>
      </c>
      <c r="B5" s="68" t="s">
        <v>436</v>
      </c>
      <c r="C5" s="214">
        <f ca="1">IFERROR(INDIRECT("fixtures!" &amp; Dashboard!J1 &amp;31) - Dashboard!K1/24,"TBC")</f>
        <v>45900.6875</v>
      </c>
      <c r="D5" s="6"/>
      <c r="E5" s="6" t="s">
        <v>9</v>
      </c>
      <c r="F5" s="6" t="s">
        <v>92</v>
      </c>
      <c r="G5" s="66" t="str">
        <f>IF(ISBLANK(fixtures!$L31),"",fixtures!$L31)</f>
        <v/>
      </c>
      <c r="H5" s="6" t="str">
        <f>IF(ISBLANK(fixtures!$L31),"",":")</f>
        <v/>
      </c>
      <c r="I5" s="68" t="str">
        <f>IF(ISBLANK(fixtures!$K31),"",fixtures!$K31)</f>
        <v/>
      </c>
      <c r="J5" s="6" t="str">
        <f>IF(ISBLANK(fixtures!$L31),"",IF(G5&gt;I5,"W",IF(G5=I5,"D","L")))</f>
        <v/>
      </c>
      <c r="K5" s="6"/>
      <c r="L5" s="6"/>
      <c r="M5" s="382">
        <v>29</v>
      </c>
      <c r="N5" s="380" t="s">
        <v>110</v>
      </c>
      <c r="O5" s="384">
        <f ca="1">IFERROR(INDIRECT("fixtures!" &amp; Dashboard!J1 &amp;22) - Dashboard!K1/24,"TBC")</f>
        <v>45898.833333333336</v>
      </c>
      <c r="P5" s="380"/>
      <c r="Q5" s="380" t="s">
        <v>7</v>
      </c>
      <c r="R5" s="380" t="s">
        <v>93</v>
      </c>
      <c r="S5" s="382" t="str">
        <f>IF(ISBLANK(fixtures!$K22),"",fixtures!$K22)</f>
        <v/>
      </c>
      <c r="T5" s="380" t="str">
        <f>IF(ISBLANK(fixtures!$L22),"",":")</f>
        <v/>
      </c>
      <c r="U5" s="383" t="str">
        <f>IF(ISBLANK(fixtures!$L22),"",fixtures!$L22)</f>
        <v/>
      </c>
      <c r="V5" s="380" t="str">
        <f>IF(ISBLANK(fixtures!$L22),"",IF(S5&gt;U5,"W",IF(S5=U5,"D","L")))</f>
        <v/>
      </c>
      <c r="W5" s="380"/>
      <c r="X5" s="380"/>
      <c r="Y5" s="418">
        <v>30</v>
      </c>
      <c r="Z5" s="412" t="s">
        <v>218</v>
      </c>
      <c r="AA5" s="420">
        <f ca="1">IFERROR(INDIRECT("fixtures!" &amp; Dashboard!J1 &amp;25) - Dashboard!K1/24,"TBC")</f>
        <v>45899.625</v>
      </c>
      <c r="AB5" s="412"/>
      <c r="AC5" s="412" t="s">
        <v>13</v>
      </c>
      <c r="AD5" s="412" t="s">
        <v>92</v>
      </c>
      <c r="AE5" s="418" t="str">
        <f>IF(ISBLANK(fixtures!$L25),"",fixtures!$L25)</f>
        <v/>
      </c>
      <c r="AF5" s="412" t="str">
        <f>IF(ISBLANK(fixtures!$L25),"",":")</f>
        <v/>
      </c>
      <c r="AG5" s="419" t="str">
        <f>IF(ISBLANK(fixtures!$K25),"",fixtures!$K25)</f>
        <v/>
      </c>
      <c r="AH5" s="412" t="str">
        <f>IF(ISBLANK(fixtures!$L25),"",IF(AE5&gt;AG5,"W",IF(AE5=AG5,"D","L")))</f>
        <v/>
      </c>
      <c r="AI5" s="412"/>
      <c r="AJ5" s="412"/>
      <c r="AK5" s="427">
        <v>30</v>
      </c>
      <c r="AL5" s="413" t="s">
        <v>218</v>
      </c>
      <c r="AM5" s="429">
        <f ca="1">IFERROR(INDIRECT("fixtures!" &amp; Dashboard!J1 &amp;26) - Dashboard!K1/24,"TBC")</f>
        <v>45899.625</v>
      </c>
      <c r="AN5" s="413"/>
      <c r="AO5" s="413" t="s">
        <v>443</v>
      </c>
      <c r="AP5" s="413" t="s">
        <v>92</v>
      </c>
      <c r="AQ5" s="427" t="str">
        <f>IF(ISBLANK(fixtures!$L26),"",fixtures!$L26)</f>
        <v/>
      </c>
      <c r="AR5" s="413" t="str">
        <f>IF(ISBLANK(fixtures!$L26),"",":")</f>
        <v/>
      </c>
      <c r="AS5" s="428" t="str">
        <f>IF(ISBLANK(fixtures!$K26),"",fixtures!$K26)</f>
        <v/>
      </c>
      <c r="AT5" s="413" t="str">
        <f>IF(ISBLANK(fixtures!$L26),"",IF(AQ5&gt;AS5,"W",IF(AQ5=AS5,"D","L")))</f>
        <v/>
      </c>
      <c r="AU5" s="413"/>
      <c r="AV5" s="413"/>
      <c r="AW5" s="71">
        <v>31</v>
      </c>
      <c r="AX5" s="73" t="s">
        <v>436</v>
      </c>
      <c r="AY5" s="219">
        <f ca="1">IFERROR(INDIRECT("fixtures!" &amp; Dashboard!J1 &amp;29) - Dashboard!K1/24,"TBC")</f>
        <v>45900.583333333336</v>
      </c>
      <c r="AZ5" s="9"/>
      <c r="BA5" s="9" t="s">
        <v>10</v>
      </c>
      <c r="BB5" s="9" t="s">
        <v>93</v>
      </c>
      <c r="BC5" s="71" t="str">
        <f>IF(ISBLANK(fixtures!$K29),"",fixtures!$K29)</f>
        <v/>
      </c>
      <c r="BD5" s="9" t="str">
        <f>IF(ISBLANK(fixtures!$L29),"",":")</f>
        <v/>
      </c>
      <c r="BE5" s="73" t="str">
        <f>IF(ISBLANK(fixtures!$L29),"",fixtures!$L29)</f>
        <v/>
      </c>
      <c r="BF5" s="9" t="str">
        <f>IF(ISBLANK(fixtures!$L29),"",IF(BC5&gt;BE5,"W",IF(BC5=BE5,"D","L")))</f>
        <v/>
      </c>
      <c r="BG5" s="9"/>
      <c r="BH5" s="9"/>
      <c r="BI5" s="436">
        <v>30</v>
      </c>
      <c r="BJ5" s="414" t="s">
        <v>218</v>
      </c>
      <c r="BK5" s="438">
        <f ca="1">IFERROR(INDIRECT("fixtures!" &amp; Dashboard!J1 &amp;24) - Dashboard!K1/24,"TBC")</f>
        <v>45899.625</v>
      </c>
      <c r="BL5" s="414"/>
      <c r="BM5" s="414" t="s">
        <v>11</v>
      </c>
      <c r="BN5" s="414" t="s">
        <v>92</v>
      </c>
      <c r="BO5" s="436" t="str">
        <f>IF(ISBLANK(fixtures!$L24),"",fixtures!$L24)</f>
        <v/>
      </c>
      <c r="BP5" s="414" t="str">
        <f>IF(ISBLANK(fixtures!$L24),"",":")</f>
        <v/>
      </c>
      <c r="BQ5" s="437" t="str">
        <f>IF(ISBLANK(fixtures!$K24),"",fixtures!$K24)</f>
        <v/>
      </c>
      <c r="BR5" s="414" t="str">
        <f>IF(ISBLANK(fixtures!$L24),"",IF(BO5&gt;BQ5,"W",IF(BO5=BQ5,"D","L")))</f>
        <v/>
      </c>
      <c r="BS5" s="414"/>
      <c r="BT5" s="414"/>
      <c r="BU5" s="146">
        <v>30</v>
      </c>
      <c r="BV5" s="148" t="s">
        <v>218</v>
      </c>
      <c r="BW5" s="225">
        <f ca="1">IFERROR(INDIRECT("fixtures!" &amp; Dashboard!J1 &amp;23) - Dashboard!K1/24,"TBC")</f>
        <v>45899.520833333336</v>
      </c>
      <c r="BX5" s="13"/>
      <c r="BY5" s="13" t="s">
        <v>108</v>
      </c>
      <c r="BZ5" s="13" t="s">
        <v>93</v>
      </c>
      <c r="CA5" s="146" t="str">
        <f>IF(ISBLANK(fixtures!$K23),"",fixtures!$K23)</f>
        <v/>
      </c>
      <c r="CB5" s="13" t="str">
        <f>IF(ISBLANK(fixtures!$L23),"",":")</f>
        <v/>
      </c>
      <c r="CC5" s="148" t="str">
        <f>IF(ISBLANK(fixtures!$L23),"",fixtures!$L23)</f>
        <v/>
      </c>
      <c r="CD5" s="13" t="str">
        <f>IF(ISBLANK(fixtures!$L23),"",IF(CA5&gt;CC5,"W",IF(CA5=CC5,"D","L")))</f>
        <v/>
      </c>
      <c r="CE5" s="13"/>
      <c r="CF5" s="13"/>
      <c r="CG5" s="394">
        <v>29</v>
      </c>
      <c r="CH5" s="395" t="s">
        <v>110</v>
      </c>
      <c r="CI5" s="396">
        <f ca="1">IFERROR(INDIRECT("fixtures!" &amp; Dashboard!J1 &amp;22) - Dashboard!K1/24,"TBC")</f>
        <v>45898.833333333336</v>
      </c>
      <c r="CJ5" s="14"/>
      <c r="CK5" s="14" t="s">
        <v>2</v>
      </c>
      <c r="CL5" s="14" t="s">
        <v>92</v>
      </c>
      <c r="CM5" s="394" t="str">
        <f>IF(ISBLANK(fixtures!$L22),"",fixtures!$L22)</f>
        <v/>
      </c>
      <c r="CN5" s="14" t="str">
        <f>IF(ISBLANK(fixtures!$L22),"",":")</f>
        <v/>
      </c>
      <c r="CO5" s="395" t="str">
        <f>IF(ISBLANK(fixtures!$K22),"",fixtures!$K22)</f>
        <v/>
      </c>
      <c r="CP5" s="14" t="str">
        <f>IF(ISBLANK(fixtures!$L22),"",IF(CM5&gt;CO5,"W",IF(CM5=CO5,"D","L")))</f>
        <v/>
      </c>
      <c r="CQ5" s="14"/>
      <c r="CR5" s="14"/>
      <c r="CS5" s="231">
        <v>30</v>
      </c>
      <c r="CT5" s="17" t="s">
        <v>218</v>
      </c>
      <c r="CU5" s="233">
        <f ca="1">IFERROR(INDIRECT("fixtures!" &amp; Dashboard!J1 &amp;27) - Dashboard!K1/24,"TBC")</f>
        <v>45899.625</v>
      </c>
      <c r="CV5" s="17"/>
      <c r="CW5" s="17" t="s">
        <v>15</v>
      </c>
      <c r="CX5" s="17" t="s">
        <v>92</v>
      </c>
      <c r="CY5" s="231" t="str">
        <f>IF(ISBLANK(fixtures!$L27),"",fixtures!$L27)</f>
        <v/>
      </c>
      <c r="CZ5" s="17" t="str">
        <f>IF(ISBLANK(fixtures!$L27),"",":")</f>
        <v/>
      </c>
      <c r="DA5" s="232" t="str">
        <f>IF(ISBLANK(fixtures!$K27),"",fixtures!$K27)</f>
        <v/>
      </c>
      <c r="DB5" s="17" t="str">
        <f>IF(ISBLANK(fixtures!$L27),"",IF(CY5&gt;DA5,"W",IF(CY5=DA5,"D","L")))</f>
        <v/>
      </c>
      <c r="DC5" s="17"/>
      <c r="DD5" s="17"/>
      <c r="DE5" s="444">
        <v>30</v>
      </c>
      <c r="DF5" s="445" t="s">
        <v>218</v>
      </c>
      <c r="DG5" s="446">
        <f ca="1">IFERROR(INDIRECT("fixtures!" &amp; Dashboard!J1 &amp;23) - Dashboard!K1/24,"TBC")</f>
        <v>45899.520833333336</v>
      </c>
      <c r="DH5" s="143"/>
      <c r="DI5" s="143" t="s">
        <v>6</v>
      </c>
      <c r="DJ5" s="143" t="s">
        <v>92</v>
      </c>
      <c r="DK5" s="444" t="str">
        <f>IF(ISBLANK(fixtures!$L23),"",fixtures!$L23)</f>
        <v/>
      </c>
      <c r="DL5" s="143" t="str">
        <f>IF(ISBLANK(fixtures!$L23),"",":")</f>
        <v/>
      </c>
      <c r="DM5" s="445" t="str">
        <f>IF(ISBLANK(fixtures!$K23),"",fixtures!$K23)</f>
        <v/>
      </c>
      <c r="DN5" s="143" t="str">
        <f>IF(ISBLANK(fixtures!$L23),"",IF(DK5&gt;DM5,"W",IF(DK5=DM5,"D","L")))</f>
        <v/>
      </c>
      <c r="DO5" s="143"/>
      <c r="DP5" s="143"/>
      <c r="DQ5" s="382">
        <v>30</v>
      </c>
      <c r="DR5" s="380" t="s">
        <v>218</v>
      </c>
      <c r="DS5" s="384">
        <f ca="1">IFERROR(INDIRECT("fixtures!" &amp; Dashboard!J1 &amp;28) - Dashboard!K1/24,"TBC")</f>
        <v>45899.729166666664</v>
      </c>
      <c r="DT5" s="380"/>
      <c r="DU5" s="380" t="s">
        <v>12</v>
      </c>
      <c r="DV5" s="380" t="s">
        <v>93</v>
      </c>
      <c r="DW5" s="382" t="str">
        <f>IF(ISBLANK(fixtures!$K28),"",fixtures!$K28)</f>
        <v/>
      </c>
      <c r="DX5" s="380" t="str">
        <f>IF(ISBLANK(fixtures!$L28),"",":")</f>
        <v/>
      </c>
      <c r="DY5" s="383" t="str">
        <f>IF(ISBLANK(fixtures!$L28),"",fixtures!$L28)</f>
        <v/>
      </c>
      <c r="DZ5" s="380" t="str">
        <f>IF(ISBLANK(fixtures!$L28),"",IF(DW5&gt;DY5,"W",IF(DW5=DY5,"D","L")))</f>
        <v/>
      </c>
      <c r="EA5" s="380"/>
      <c r="EB5" s="380"/>
      <c r="EC5" s="207">
        <v>31</v>
      </c>
      <c r="ED5" s="209" t="s">
        <v>436</v>
      </c>
      <c r="EE5" s="239">
        <f ca="1">IFERROR(INDIRECT("fixtures!" &amp; Dashboard!J1 &amp;31) - Dashboard!K1/24,"TBC")</f>
        <v>45900.6875</v>
      </c>
      <c r="EF5" s="19"/>
      <c r="EG5" s="19" t="s">
        <v>1</v>
      </c>
      <c r="EH5" s="19" t="s">
        <v>93</v>
      </c>
      <c r="EI5" s="207" t="str">
        <f>IF(ISBLANK(fixtures!$K31),"",fixtures!$K31)</f>
        <v/>
      </c>
      <c r="EJ5" s="19" t="str">
        <f>IF(ISBLANK(fixtures!$L31),"",":")</f>
        <v/>
      </c>
      <c r="EK5" s="209" t="str">
        <f>IF(ISBLANK(fixtures!$L31),"",fixtures!$L31)</f>
        <v/>
      </c>
      <c r="EL5" s="19" t="str">
        <f>IF(ISBLANK(fixtures!$L31),"",IF(EI5&gt;EK5,"W",IF(EI5=EK5,"D","L")))</f>
        <v/>
      </c>
      <c r="EM5" s="19"/>
      <c r="EN5" s="19"/>
      <c r="EO5" s="80">
        <v>31</v>
      </c>
      <c r="EP5" s="21" t="s">
        <v>436</v>
      </c>
      <c r="EQ5" s="245">
        <f ca="1">IFERROR(INDIRECT("fixtures!" &amp; Dashboard!J1 &amp;29) - Dashboard!K1/24,"TBC")</f>
        <v>45900.583333333336</v>
      </c>
      <c r="ER5" s="21"/>
      <c r="ES5" s="21" t="s">
        <v>4</v>
      </c>
      <c r="ET5" s="21" t="s">
        <v>92</v>
      </c>
      <c r="EU5" s="80" t="str">
        <f>IF(ISBLANK(fixtures!$L29),"",fixtures!$L29)</f>
        <v/>
      </c>
      <c r="EV5" s="21" t="str">
        <f>IF(ISBLANK(fixtures!$L29),"",":")</f>
        <v/>
      </c>
      <c r="EW5" s="82" t="str">
        <f>IF(ISBLANK(fixtures!$K29),"",fixtures!$K29)</f>
        <v/>
      </c>
      <c r="EX5" s="21" t="str">
        <f>IF(ISBLANK(fixtures!$L29),"",IF(EU5&gt;EW5,"W",IF(EU5=EW5,"D","L")))</f>
        <v/>
      </c>
      <c r="EY5" s="21"/>
      <c r="EZ5" s="21"/>
      <c r="FA5" s="251">
        <v>30</v>
      </c>
      <c r="FB5" s="23" t="s">
        <v>218</v>
      </c>
      <c r="FC5" s="253">
        <f ca="1">IFERROR(INDIRECT("fixtures!" &amp; Dashboard!J1 &amp;24) - Dashboard!K1/24,"TBC")</f>
        <v>45899.625</v>
      </c>
      <c r="FD5" s="23"/>
      <c r="FE5" s="23" t="s">
        <v>5</v>
      </c>
      <c r="FF5" s="23" t="s">
        <v>93</v>
      </c>
      <c r="FG5" s="251" t="str">
        <f>IF(ISBLANK(fixtures!$K24),"",fixtures!$K24)</f>
        <v/>
      </c>
      <c r="FH5" s="23" t="str">
        <f>IF(ISBLANK(fixtures!$L24),"",":")</f>
        <v/>
      </c>
      <c r="FI5" s="252" t="str">
        <f>IF(ISBLANK(fixtures!$L24),"",fixtures!$L24)</f>
        <v/>
      </c>
      <c r="FJ5" s="23" t="str">
        <f>IF(ISBLANK(fixtures!$L24),"",IF(FG5&gt;FI5,"W",IF(FG5=FI5,"D","L")))</f>
        <v/>
      </c>
      <c r="FK5" s="23"/>
      <c r="FL5" s="23"/>
      <c r="FM5" s="85">
        <v>30</v>
      </c>
      <c r="FN5" s="25" t="s">
        <v>218</v>
      </c>
      <c r="FO5" s="259">
        <f ca="1">IFERROR(INDIRECT("fixtures!" &amp; Dashboard!J1 &amp;28) - Dashboard!K1/24,"TBC")</f>
        <v>45899.729166666664</v>
      </c>
      <c r="FP5" s="25"/>
      <c r="FQ5" s="25" t="s">
        <v>444</v>
      </c>
      <c r="FR5" s="25" t="s">
        <v>92</v>
      </c>
      <c r="FS5" s="85" t="str">
        <f>IF(ISBLANK(fixtures!$L28),"",fixtures!$L28)</f>
        <v/>
      </c>
      <c r="FT5" s="25" t="str">
        <f>IF(ISBLANK(fixtures!$L28),"",":")</f>
        <v/>
      </c>
      <c r="FU5" s="87" t="str">
        <f>IF(ISBLANK(fixtures!$K28),"",fixtures!$K28)</f>
        <v/>
      </c>
      <c r="FV5" s="25" t="str">
        <f>IF(ISBLANK(fixtures!$L28),"",IF(FS5&gt;FU5,"W",IF(FS5=FU5,"D","L")))</f>
        <v/>
      </c>
      <c r="FW5" s="25"/>
      <c r="FX5" s="25"/>
      <c r="FY5" s="402">
        <v>31</v>
      </c>
      <c r="FZ5" s="390" t="s">
        <v>436</v>
      </c>
      <c r="GA5" s="404">
        <f ca="1">IFERROR(INDIRECT("fixtures!" &amp; Dashboard!J1 &amp;30) - Dashboard!K1/24,"TBC")</f>
        <v>45900.583333333336</v>
      </c>
      <c r="GB5" s="390"/>
      <c r="GC5" s="390" t="s">
        <v>14</v>
      </c>
      <c r="GD5" s="390" t="s">
        <v>93</v>
      </c>
      <c r="GE5" s="402" t="str">
        <f>IF(ISBLANK(fixtures!$K30),"",fixtures!$K30)</f>
        <v/>
      </c>
      <c r="GF5" s="390" t="str">
        <f>IF(ISBLANK(fixtures!$L30),"",":")</f>
        <v/>
      </c>
      <c r="GG5" s="403" t="str">
        <f>IF(ISBLANK(fixtures!$L30),"",fixtures!$L30)</f>
        <v/>
      </c>
      <c r="GH5" s="390" t="str">
        <f>IF(ISBLANK(fixtures!$L30),"",IF(GE5&gt;GG5,"W",IF(GE5=GG5,"D","L")))</f>
        <v/>
      </c>
      <c r="GI5" s="390"/>
      <c r="GJ5" s="390"/>
      <c r="GK5" s="89">
        <v>30</v>
      </c>
      <c r="GL5" s="90" t="s">
        <v>218</v>
      </c>
      <c r="GM5" s="266">
        <f ca="1">IFERROR(INDIRECT("fixtures!" &amp; Dashboard!J1 &amp;25) - Dashboard!K1/24,"TBC")</f>
        <v>45899.625</v>
      </c>
      <c r="GN5" s="27"/>
      <c r="GO5" s="27" t="s">
        <v>3</v>
      </c>
      <c r="GP5" s="27" t="s">
        <v>93</v>
      </c>
      <c r="GQ5" s="89" t="str">
        <f>IF(ISBLANK(fixtures!$K25),"",fixtures!$K25)</f>
        <v/>
      </c>
      <c r="GR5" s="27" t="str">
        <f>IF(ISBLANK(fixtures!$L25),"",":")</f>
        <v/>
      </c>
      <c r="GS5" s="90" t="str">
        <f>IF(ISBLANK(fixtures!$L25),"",fixtures!$L25)</f>
        <v/>
      </c>
      <c r="GT5" s="27" t="str">
        <f>IF(ISBLANK(fixtures!$L25),"",IF(GQ5&gt;GS5,"W",IF(GQ5=GS5,"D","L")))</f>
        <v/>
      </c>
      <c r="GU5" s="27"/>
      <c r="GV5" s="27"/>
      <c r="GW5" s="382">
        <v>30</v>
      </c>
      <c r="GX5" s="383" t="s">
        <v>218</v>
      </c>
      <c r="GY5" s="384">
        <f ca="1">IFERROR(INDIRECT("fixtures!" &amp; Dashboard!J1 &amp;26) - Dashboard!K1/24,"TBC")</f>
        <v>45899.625</v>
      </c>
      <c r="GZ5" s="380"/>
      <c r="HA5" s="380" t="s">
        <v>107</v>
      </c>
      <c r="HB5" s="380" t="s">
        <v>93</v>
      </c>
      <c r="HC5" s="382" t="str">
        <f>IF(ISBLANK(fixtures!$K26),"",fixtures!$K26)</f>
        <v/>
      </c>
      <c r="HD5" s="380" t="str">
        <f>IF(ISBLANK(fixtures!$L26),"",":")</f>
        <v/>
      </c>
      <c r="HE5" s="383" t="str">
        <f>IF(ISBLANK(fixtures!$L26),"",fixtures!$L26)</f>
        <v/>
      </c>
      <c r="HF5" s="380" t="str">
        <f>IF(ISBLANK(fixtures!$L26),"",IF(HC5&gt;HE5,"W",IF(HC5=HE5,"D","L")))</f>
        <v/>
      </c>
      <c r="HG5" s="380"/>
      <c r="HH5" s="380"/>
      <c r="HI5" s="92">
        <v>31</v>
      </c>
      <c r="HJ5" s="29" t="s">
        <v>436</v>
      </c>
      <c r="HK5" s="272">
        <f ca="1">IFERROR(INDIRECT("fixtures!" &amp; Dashboard!J1 &amp;30) - Dashboard!K1/24,"TBC")</f>
        <v>45900.583333333336</v>
      </c>
      <c r="HL5" s="29"/>
      <c r="HM5" s="29" t="s">
        <v>188</v>
      </c>
      <c r="HN5" s="29" t="s">
        <v>92</v>
      </c>
      <c r="HO5" s="92" t="str">
        <f>IF(ISBLANK(fixtures!$L30),"",fixtures!$L30)</f>
        <v/>
      </c>
      <c r="HP5" s="29" t="str">
        <f>IF(ISBLANK(fixtures!$L30),"",":")</f>
        <v/>
      </c>
      <c r="HQ5" s="94" t="str">
        <f>IF(ISBLANK(fixtures!$K30),"",fixtures!$K30)</f>
        <v/>
      </c>
      <c r="HR5" s="29" t="str">
        <f>IF(ISBLANK(fixtures!$L30),"",IF(HO5&gt;HQ5,"W",IF(HO5=HQ5,"D","L")))</f>
        <v/>
      </c>
      <c r="HS5" s="29"/>
      <c r="HT5" s="29"/>
      <c r="HU5" s="97">
        <v>30</v>
      </c>
      <c r="HV5" s="31" t="s">
        <v>218</v>
      </c>
      <c r="HW5" s="278">
        <f ca="1">IFERROR(INDIRECT("fixtures!" &amp; Dashboard!J1 &amp;27) - Dashboard!K1/24,"TBC")</f>
        <v>45899.625</v>
      </c>
      <c r="HX5" s="31"/>
      <c r="HY5" s="31" t="s">
        <v>8</v>
      </c>
      <c r="HZ5" s="31" t="s">
        <v>93</v>
      </c>
      <c r="IA5" s="97" t="str">
        <f>IF(ISBLANK(fixtures!$K27),"",fixtures!$K27)</f>
        <v/>
      </c>
      <c r="IB5" s="31" t="str">
        <f>IF(ISBLANK(fixtures!$L27),"",":")</f>
        <v/>
      </c>
      <c r="IC5" s="99" t="str">
        <f>IF(ISBLANK(fixtures!$L27),"",fixtures!$L27)</f>
        <v/>
      </c>
      <c r="ID5" s="31" t="str">
        <f>IF(ISBLANK(fixtures!$L27),"",IF(IA5&gt;IC5,"W",IF(IA5=IC5,"D","L")))</f>
        <v/>
      </c>
      <c r="IE5" s="31"/>
      <c r="IF5" s="31"/>
      <c r="II5" s="112"/>
    </row>
    <row r="6" spans="1:243">
      <c r="A6" s="215" t="s">
        <v>17</v>
      </c>
      <c r="B6" s="68"/>
      <c r="C6" s="214"/>
      <c r="D6" s="6"/>
      <c r="E6" s="6"/>
      <c r="F6" s="6"/>
      <c r="G6" s="66"/>
      <c r="H6" s="6"/>
      <c r="I6" s="68"/>
      <c r="J6" s="6"/>
      <c r="K6" s="6"/>
      <c r="L6" s="6"/>
      <c r="M6" s="385" t="s">
        <v>17</v>
      </c>
      <c r="N6" s="380"/>
      <c r="O6" s="384"/>
      <c r="P6" s="380"/>
      <c r="Q6" s="380"/>
      <c r="R6" s="380"/>
      <c r="S6" s="382"/>
      <c r="T6" s="380"/>
      <c r="U6" s="383"/>
      <c r="V6" s="380"/>
      <c r="W6" s="380"/>
      <c r="X6" s="380"/>
      <c r="Y6" s="421" t="s">
        <v>17</v>
      </c>
      <c r="Z6" s="412"/>
      <c r="AA6" s="420"/>
      <c r="AB6" s="412"/>
      <c r="AC6" s="412"/>
      <c r="AD6" s="412"/>
      <c r="AE6" s="418"/>
      <c r="AF6" s="412"/>
      <c r="AG6" s="419"/>
      <c r="AH6" s="412"/>
      <c r="AI6" s="412"/>
      <c r="AJ6" s="412"/>
      <c r="AK6" s="430" t="s">
        <v>17</v>
      </c>
      <c r="AL6" s="413"/>
      <c r="AM6" s="429"/>
      <c r="AN6" s="413"/>
      <c r="AO6" s="413"/>
      <c r="AP6" s="413"/>
      <c r="AQ6" s="427"/>
      <c r="AR6" s="413"/>
      <c r="AS6" s="428"/>
      <c r="AT6" s="413"/>
      <c r="AU6" s="413"/>
      <c r="AV6" s="413"/>
      <c r="AW6" s="220" t="s">
        <v>17</v>
      </c>
      <c r="AX6" s="73"/>
      <c r="AY6" s="219"/>
      <c r="AZ6" s="9"/>
      <c r="BA6" s="9"/>
      <c r="BB6" s="9"/>
      <c r="BC6" s="71"/>
      <c r="BD6" s="9"/>
      <c r="BE6" s="73"/>
      <c r="BF6" s="9"/>
      <c r="BG6" s="9"/>
      <c r="BH6" s="9"/>
      <c r="BI6" s="439" t="s">
        <v>17</v>
      </c>
      <c r="BJ6" s="414"/>
      <c r="BK6" s="438"/>
      <c r="BL6" s="414"/>
      <c r="BM6" s="414"/>
      <c r="BN6" s="414"/>
      <c r="BO6" s="436"/>
      <c r="BP6" s="414"/>
      <c r="BQ6" s="437"/>
      <c r="BR6" s="414"/>
      <c r="BS6" s="414"/>
      <c r="BT6" s="414"/>
      <c r="BU6" s="226" t="s">
        <v>17</v>
      </c>
      <c r="BV6" s="13"/>
      <c r="BW6" s="225"/>
      <c r="BX6" s="13"/>
      <c r="BY6" s="13"/>
      <c r="BZ6" s="13"/>
      <c r="CA6" s="146"/>
      <c r="CB6" s="13"/>
      <c r="CC6" s="148"/>
      <c r="CD6" s="13"/>
      <c r="CE6" s="13"/>
      <c r="CF6" s="13"/>
      <c r="CG6" s="397" t="s">
        <v>17</v>
      </c>
      <c r="CH6" s="395"/>
      <c r="CI6" s="396"/>
      <c r="CJ6" s="14"/>
      <c r="CK6" s="14"/>
      <c r="CL6" s="14"/>
      <c r="CM6" s="394"/>
      <c r="CN6" s="14"/>
      <c r="CO6" s="395"/>
      <c r="CP6" s="14"/>
      <c r="CQ6" s="14"/>
      <c r="CR6" s="14"/>
      <c r="CS6" s="234" t="s">
        <v>17</v>
      </c>
      <c r="CT6" s="17"/>
      <c r="CU6" s="233"/>
      <c r="CV6" s="17"/>
      <c r="CW6" s="17"/>
      <c r="CX6" s="17"/>
      <c r="CY6" s="231"/>
      <c r="CZ6" s="17"/>
      <c r="DA6" s="232"/>
      <c r="DB6" s="17"/>
      <c r="DC6" s="17"/>
      <c r="DD6" s="17"/>
      <c r="DE6" s="447" t="s">
        <v>17</v>
      </c>
      <c r="DF6" s="445"/>
      <c r="DG6" s="446"/>
      <c r="DH6" s="143"/>
      <c r="DI6" s="143"/>
      <c r="DJ6" s="143"/>
      <c r="DK6" s="444"/>
      <c r="DL6" s="143"/>
      <c r="DM6" s="445"/>
      <c r="DN6" s="143"/>
      <c r="DO6" s="143"/>
      <c r="DP6" s="143"/>
      <c r="DQ6" s="385" t="s">
        <v>17</v>
      </c>
      <c r="DR6" s="383"/>
      <c r="DS6" s="384"/>
      <c r="DT6" s="380"/>
      <c r="DU6" s="380"/>
      <c r="DV6" s="380"/>
      <c r="DW6" s="382"/>
      <c r="DX6" s="380"/>
      <c r="DY6" s="383"/>
      <c r="DZ6" s="380"/>
      <c r="EA6" s="380"/>
      <c r="EB6" s="380"/>
      <c r="EC6" s="240" t="s">
        <v>17</v>
      </c>
      <c r="ED6" s="19"/>
      <c r="EE6" s="239"/>
      <c r="EF6" s="19"/>
      <c r="EG6" s="19"/>
      <c r="EH6" s="19"/>
      <c r="EI6" s="207"/>
      <c r="EJ6" s="19"/>
      <c r="EK6" s="209"/>
      <c r="EL6" s="19"/>
      <c r="EM6" s="19"/>
      <c r="EN6" s="19"/>
      <c r="EO6" s="246" t="s">
        <v>17</v>
      </c>
      <c r="EP6" s="21"/>
      <c r="EQ6" s="245"/>
      <c r="ER6" s="21"/>
      <c r="ES6" s="21"/>
      <c r="ET6" s="21"/>
      <c r="EU6" s="80"/>
      <c r="EV6" s="21"/>
      <c r="EW6" s="82"/>
      <c r="EX6" s="21"/>
      <c r="EY6" s="21"/>
      <c r="EZ6" s="21"/>
      <c r="FA6" s="254" t="s">
        <v>17</v>
      </c>
      <c r="FB6" s="23"/>
      <c r="FC6" s="253"/>
      <c r="FD6" s="23"/>
      <c r="FE6" s="23"/>
      <c r="FF6" s="23"/>
      <c r="FG6" s="251"/>
      <c r="FH6" s="23"/>
      <c r="FI6" s="252"/>
      <c r="FJ6" s="23"/>
      <c r="FK6" s="23"/>
      <c r="FL6" s="23"/>
      <c r="FM6" s="260" t="s">
        <v>17</v>
      </c>
      <c r="FN6" s="25"/>
      <c r="FO6" s="259"/>
      <c r="FP6" s="25"/>
      <c r="FQ6" s="25"/>
      <c r="FR6" s="25"/>
      <c r="FS6" s="85"/>
      <c r="FT6" s="25"/>
      <c r="FU6" s="87"/>
      <c r="FV6" s="25"/>
      <c r="FW6" s="25"/>
      <c r="FX6" s="25"/>
      <c r="FY6" s="405" t="s">
        <v>17</v>
      </c>
      <c r="FZ6" s="390"/>
      <c r="GA6" s="404"/>
      <c r="GB6" s="390"/>
      <c r="GC6" s="390"/>
      <c r="GD6" s="390"/>
      <c r="GE6" s="402"/>
      <c r="GF6" s="390"/>
      <c r="GG6" s="403"/>
      <c r="GH6" s="390"/>
      <c r="GI6" s="390"/>
      <c r="GJ6" s="390"/>
      <c r="GK6" s="267" t="s">
        <v>17</v>
      </c>
      <c r="GL6" s="27"/>
      <c r="GM6" s="266"/>
      <c r="GN6" s="27"/>
      <c r="GO6" s="27"/>
      <c r="GP6" s="27"/>
      <c r="GQ6" s="89"/>
      <c r="GR6" s="27"/>
      <c r="GS6" s="90"/>
      <c r="GT6" s="27"/>
      <c r="GU6" s="27"/>
      <c r="GV6" s="27"/>
      <c r="GW6" s="385" t="s">
        <v>17</v>
      </c>
      <c r="GX6" s="380"/>
      <c r="GY6" s="384"/>
      <c r="GZ6" s="380"/>
      <c r="HA6" s="380"/>
      <c r="HB6" s="380"/>
      <c r="HC6" s="382"/>
      <c r="HD6" s="380"/>
      <c r="HE6" s="383"/>
      <c r="HF6" s="380"/>
      <c r="HG6" s="380"/>
      <c r="HH6" s="380"/>
      <c r="HI6" s="273" t="s">
        <v>17</v>
      </c>
      <c r="HJ6" s="29"/>
      <c r="HK6" s="272"/>
      <c r="HL6" s="29"/>
      <c r="HM6" s="29"/>
      <c r="HN6" s="29"/>
      <c r="HO6" s="92"/>
      <c r="HP6" s="29"/>
      <c r="HQ6" s="94"/>
      <c r="HR6" s="29"/>
      <c r="HS6" s="29"/>
      <c r="HT6" s="29"/>
      <c r="HU6" s="279" t="s">
        <v>17</v>
      </c>
      <c r="HV6" s="31"/>
      <c r="HW6" s="278"/>
      <c r="HX6" s="31"/>
      <c r="HY6" s="31"/>
      <c r="HZ6" s="31"/>
      <c r="IA6" s="97"/>
      <c r="IB6" s="31"/>
      <c r="IC6" s="99"/>
      <c r="ID6" s="31"/>
      <c r="IE6" s="31"/>
      <c r="IF6" s="31"/>
      <c r="II6" s="112"/>
    </row>
    <row r="7" spans="1:243">
      <c r="A7" s="66">
        <v>13</v>
      </c>
      <c r="B7" s="6" t="s">
        <v>218</v>
      </c>
      <c r="C7" s="214">
        <f ca="1">IFERROR(INDIRECT("fixtures!" &amp; Dashboard!J1 &amp;32) - Dashboard!K1/24,"TBC")</f>
        <v>45913.520833333336</v>
      </c>
      <c r="D7" s="6"/>
      <c r="E7" s="6" t="s">
        <v>188</v>
      </c>
      <c r="F7" s="6" t="s">
        <v>93</v>
      </c>
      <c r="G7" s="66" t="str">
        <f>IF(ISBLANK(fixtures!$K32),"",fixtures!$K32)</f>
        <v/>
      </c>
      <c r="H7" s="6" t="str">
        <f>IF(ISBLANK(fixtures!$L32),"",":")</f>
        <v/>
      </c>
      <c r="I7" s="68" t="str">
        <f>IF(ISBLANK(fixtures!$L32),"",fixtures!$L32)</f>
        <v/>
      </c>
      <c r="J7" s="6" t="str">
        <f>IF(ISBLANK(fixtures!$L32),"",IF(G7&gt;I7,"W",IF(G7=I7,"D","L")))</f>
        <v/>
      </c>
      <c r="K7" s="6"/>
      <c r="L7" s="6"/>
      <c r="M7" s="382">
        <v>13</v>
      </c>
      <c r="N7" s="380" t="s">
        <v>218</v>
      </c>
      <c r="O7" s="384">
        <f ca="1">IFERROR(INDIRECT("fixtures!" &amp; Dashboard!J1 &amp;35) - Dashboard!K1/24,"TBC")</f>
        <v>45913.625</v>
      </c>
      <c r="P7" s="380"/>
      <c r="Q7" s="380" t="s">
        <v>8</v>
      </c>
      <c r="R7" s="380" t="s">
        <v>92</v>
      </c>
      <c r="S7" s="382" t="str">
        <f>IF(ISBLANK(fixtures!$L35),"",fixtures!$L35)</f>
        <v/>
      </c>
      <c r="T7" s="380" t="str">
        <f>IF(ISBLANK(fixtures!$L35),"",":")</f>
        <v/>
      </c>
      <c r="U7" s="383" t="str">
        <f>IF(ISBLANK(fixtures!$K35),"",fixtures!$K35)</f>
        <v/>
      </c>
      <c r="V7" s="380" t="str">
        <f>IF(ISBLANK(fixtures!$L35),"",IF(S7&gt;U7,"W",IF(S7=U7,"D","L")))</f>
        <v/>
      </c>
      <c r="W7" s="380"/>
      <c r="X7" s="380"/>
      <c r="Y7" s="418">
        <v>13</v>
      </c>
      <c r="Z7" s="412" t="s">
        <v>218</v>
      </c>
      <c r="AA7" s="420">
        <f ca="1">IFERROR(INDIRECT("fixtures!" &amp; Dashboard!J1 &amp;33) - Dashboard!K1/24,"TBC")</f>
        <v>45913.625</v>
      </c>
      <c r="AB7" s="412"/>
      <c r="AC7" s="412" t="s">
        <v>4</v>
      </c>
      <c r="AD7" s="412" t="s">
        <v>93</v>
      </c>
      <c r="AE7" s="418" t="str">
        <f>IF(ISBLANK(fixtures!$K33),"",fixtures!$K33)</f>
        <v/>
      </c>
      <c r="AF7" s="412" t="str">
        <f>IF(ISBLANK(fixtures!$L33),"",":")</f>
        <v/>
      </c>
      <c r="AG7" s="419" t="str">
        <f>IF(ISBLANK(fixtures!$L33),"",fixtures!$L33)</f>
        <v/>
      </c>
      <c r="AH7" s="412" t="str">
        <f>IF(ISBLANK(fixtures!$L33),"",IF(AE7&gt;AG7,"W",IF(AE7=AG7,"D","L")))</f>
        <v/>
      </c>
      <c r="AI7" s="412"/>
      <c r="AJ7" s="412"/>
      <c r="AK7" s="427">
        <v>13</v>
      </c>
      <c r="AL7" s="413" t="s">
        <v>218</v>
      </c>
      <c r="AM7" s="429">
        <f ca="1">IFERROR(INDIRECT("fixtures!" &amp; Dashboard!J1 &amp;39) - Dashboard!K1/24,"TBC")</f>
        <v>45913.833333333336</v>
      </c>
      <c r="AN7" s="413"/>
      <c r="AO7" s="413" t="s">
        <v>6</v>
      </c>
      <c r="AP7" s="413" t="s">
        <v>93</v>
      </c>
      <c r="AQ7" s="427" t="str">
        <f>IF(ISBLANK(fixtures!$K39),"",fixtures!$K39)</f>
        <v/>
      </c>
      <c r="AR7" s="413" t="str">
        <f>IF(ISBLANK(fixtures!$L39),"",":")</f>
        <v/>
      </c>
      <c r="AS7" s="428" t="str">
        <f>IF(ISBLANK(fixtures!$L39),"",fixtures!$L39)</f>
        <v/>
      </c>
      <c r="AT7" s="413" t="str">
        <f>IF(ISBLANK(fixtures!$L39),"",IF(AQ7&gt;AS7,"W",IF(AQ7=AS7,"D","L")))</f>
        <v/>
      </c>
      <c r="AU7" s="413"/>
      <c r="AV7" s="413"/>
      <c r="AW7" s="71">
        <v>13</v>
      </c>
      <c r="AX7" s="73" t="s">
        <v>218</v>
      </c>
      <c r="AY7" s="219">
        <f ca="1">IFERROR(INDIRECT("fixtures!" &amp; Dashboard!J1 &amp;33) - Dashboard!K1/24,"TBC")</f>
        <v>45913.625</v>
      </c>
      <c r="AZ7" s="9"/>
      <c r="BA7" s="9" t="s">
        <v>3</v>
      </c>
      <c r="BB7" s="9" t="s">
        <v>92</v>
      </c>
      <c r="BC7" s="71" t="str">
        <f>IF(ISBLANK(fixtures!$L33),"",fixtures!$L33)</f>
        <v/>
      </c>
      <c r="BD7" s="9" t="str">
        <f>IF(ISBLANK(fixtures!$L33),"",":")</f>
        <v/>
      </c>
      <c r="BE7" s="73" t="str">
        <f>IF(ISBLANK(fixtures!$K33),"",fixtures!$K33)</f>
        <v/>
      </c>
      <c r="BF7" s="9" t="str">
        <f>IF(ISBLANK(fixtures!$L33),"",IF(BC7&gt;BE7,"W",IF(BC7=BE7,"D","L")))</f>
        <v/>
      </c>
      <c r="BG7" s="9"/>
      <c r="BH7" s="9"/>
      <c r="BI7" s="436">
        <v>14</v>
      </c>
      <c r="BJ7" s="414" t="s">
        <v>436</v>
      </c>
      <c r="BK7" s="438">
        <f ca="1">IFERROR(INDIRECT("fixtures!" &amp; Dashboard!J1 &amp;40) - Dashboard!K1/24,"TBC")</f>
        <v>45914.583333333336</v>
      </c>
      <c r="BL7" s="414"/>
      <c r="BM7" s="414" t="s">
        <v>9</v>
      </c>
      <c r="BN7" s="414" t="s">
        <v>93</v>
      </c>
      <c r="BO7" s="436" t="str">
        <f>IF(ISBLANK(fixtures!$K40),"",fixtures!$K40)</f>
        <v/>
      </c>
      <c r="BP7" s="414" t="str">
        <f>IF(ISBLANK(fixtures!$L40),"",":")</f>
        <v/>
      </c>
      <c r="BQ7" s="437" t="str">
        <f>IF(ISBLANK(fixtures!$L40),"",fixtures!$L40)</f>
        <v/>
      </c>
      <c r="BR7" s="414" t="str">
        <f>IF(ISBLANK(fixtures!$L40),"",IF(BO7&gt;BQ7,"W",IF(BO7=BQ7,"D","L")))</f>
        <v/>
      </c>
      <c r="BS7" s="414"/>
      <c r="BT7" s="414"/>
      <c r="BU7" s="146">
        <v>13</v>
      </c>
      <c r="BV7" s="13" t="s">
        <v>218</v>
      </c>
      <c r="BW7" s="225">
        <f ca="1">IFERROR(INDIRECT("fixtures!" &amp; Dashboard!J1 &amp;39) - Dashboard!K1/24,"TBC")</f>
        <v>45913.833333333336</v>
      </c>
      <c r="BX7" s="13"/>
      <c r="BY7" s="13" t="s">
        <v>107</v>
      </c>
      <c r="BZ7" s="13" t="s">
        <v>92</v>
      </c>
      <c r="CA7" s="146" t="str">
        <f>IF(ISBLANK(fixtures!$L39),"",fixtures!$L39)</f>
        <v/>
      </c>
      <c r="CB7" s="13" t="str">
        <f>IF(ISBLANK(fixtures!$L39),"",":")</f>
        <v/>
      </c>
      <c r="CC7" s="148" t="str">
        <f>IF(ISBLANK(fixtures!$K39),"",fixtures!$K39)</f>
        <v/>
      </c>
      <c r="CD7" s="13" t="str">
        <f>IF(ISBLANK(fixtures!$L39),"",IF(CA7&gt;CC7,"W",IF(CA7=CC7,"D","L")))</f>
        <v/>
      </c>
      <c r="CE7" s="13"/>
      <c r="CF7" s="13"/>
      <c r="CG7" s="394">
        <v>13</v>
      </c>
      <c r="CH7" s="14" t="s">
        <v>218</v>
      </c>
      <c r="CI7" s="396">
        <f ca="1">IFERROR(INDIRECT("fixtures!" &amp; Dashboard!J1 &amp;34) - Dashboard!K1/24,"TBC")</f>
        <v>45913.625</v>
      </c>
      <c r="CJ7" s="14"/>
      <c r="CK7" s="14" t="s">
        <v>443</v>
      </c>
      <c r="CL7" s="14" t="s">
        <v>93</v>
      </c>
      <c r="CM7" s="394" t="str">
        <f>IF(ISBLANK(fixtures!$K34),"",fixtures!$K34)</f>
        <v/>
      </c>
      <c r="CN7" s="14" t="str">
        <f>IF(ISBLANK(fixtures!$L34),"",":")</f>
        <v/>
      </c>
      <c r="CO7" s="395" t="str">
        <f>IF(ISBLANK(fixtures!$L34),"",fixtures!$L34)</f>
        <v/>
      </c>
      <c r="CP7" s="14" t="str">
        <f>IF(ISBLANK(fixtures!$L34),"",IF(CM7&gt;CO7,"W",IF(CM7=CO7,"D","L")))</f>
        <v/>
      </c>
      <c r="CQ7" s="14"/>
      <c r="CR7" s="14"/>
      <c r="CS7" s="231">
        <v>13</v>
      </c>
      <c r="CT7" s="17" t="s">
        <v>218</v>
      </c>
      <c r="CU7" s="233">
        <f ca="1">IFERROR(INDIRECT("fixtures!" &amp; Dashboard!J1 &amp;35) - Dashboard!K1/24,"TBC")</f>
        <v>45913.625</v>
      </c>
      <c r="CV7" s="17"/>
      <c r="CW7" s="17" t="s">
        <v>2</v>
      </c>
      <c r="CX7" s="17" t="s">
        <v>93</v>
      </c>
      <c r="CY7" s="231" t="str">
        <f>IF(ISBLANK(fixtures!$K35),"",fixtures!$K35)</f>
        <v/>
      </c>
      <c r="CZ7" s="17" t="str">
        <f>IF(ISBLANK(fixtures!$L35),"",":")</f>
        <v/>
      </c>
      <c r="DA7" s="232" t="str">
        <f>IF(ISBLANK(fixtures!$L35),"",fixtures!$L35)</f>
        <v/>
      </c>
      <c r="DB7" s="17" t="str">
        <f>IF(ISBLANK(fixtures!$L35),"",IF(CY7&gt;DA7,"W",IF(CY7=DA7,"D","L")))</f>
        <v/>
      </c>
      <c r="DC7" s="17"/>
      <c r="DD7" s="17"/>
      <c r="DE7" s="444">
        <v>13</v>
      </c>
      <c r="DF7" s="143" t="s">
        <v>218</v>
      </c>
      <c r="DG7" s="446">
        <f ca="1">IFERROR(INDIRECT("fixtures!" &amp; Dashboard!J1 &amp;36) - Dashboard!K1/24,"TBC")</f>
        <v>45913.625</v>
      </c>
      <c r="DH7" s="143"/>
      <c r="DI7" s="143" t="s">
        <v>444</v>
      </c>
      <c r="DJ7" s="143" t="s">
        <v>93</v>
      </c>
      <c r="DK7" s="444" t="str">
        <f>IF(ISBLANK(fixtures!$K36),"",fixtures!$K36)</f>
        <v/>
      </c>
      <c r="DL7" s="143" t="str">
        <f>IF(ISBLANK(fixtures!$L36),"",":")</f>
        <v/>
      </c>
      <c r="DM7" s="445" t="str">
        <f>IF(ISBLANK(fixtures!$L36),"",fixtures!$L36)</f>
        <v/>
      </c>
      <c r="DN7" s="143" t="str">
        <f>IF(ISBLANK(fixtures!$L36),"",IF(DK7&gt;DM7,"W",IF(DK7=DM7,"D","L")))</f>
        <v/>
      </c>
      <c r="DO7" s="143"/>
      <c r="DP7" s="143"/>
      <c r="DQ7" s="382">
        <v>13</v>
      </c>
      <c r="DR7" s="380" t="s">
        <v>218</v>
      </c>
      <c r="DS7" s="384">
        <f ca="1">IFERROR(INDIRECT("fixtures!" &amp; Dashboard!J1 &amp;36) - Dashboard!K1/24,"TBC")</f>
        <v>45913.625</v>
      </c>
      <c r="DT7" s="380"/>
      <c r="DU7" s="380" t="s">
        <v>108</v>
      </c>
      <c r="DV7" s="380" t="s">
        <v>92</v>
      </c>
      <c r="DW7" s="382" t="str">
        <f>IF(ISBLANK(fixtures!$L36),"",fixtures!$L36)</f>
        <v/>
      </c>
      <c r="DX7" s="380" t="str">
        <f>IF(ISBLANK(fixtures!$L36),"",":")</f>
        <v/>
      </c>
      <c r="DY7" s="383" t="str">
        <f>IF(ISBLANK(fixtures!$K36),"",fixtures!$K36)</f>
        <v/>
      </c>
      <c r="DZ7" s="380" t="str">
        <f>IF(ISBLANK(fixtures!$L36),"",IF(DW7&gt;DY7,"W",IF(DW7=DY7,"D","L")))</f>
        <v/>
      </c>
      <c r="EA7" s="380"/>
      <c r="EB7" s="380"/>
      <c r="EC7" s="207">
        <v>14</v>
      </c>
      <c r="ED7" s="19" t="s">
        <v>436</v>
      </c>
      <c r="EE7" s="239">
        <f ca="1">IFERROR(INDIRECT("fixtures!" &amp; Dashboard!J1 &amp;40) - Dashboard!K1/24,"TBC")</f>
        <v>45914.583333333336</v>
      </c>
      <c r="EF7" s="19"/>
      <c r="EG7" s="19" t="s">
        <v>5</v>
      </c>
      <c r="EH7" s="19" t="s">
        <v>92</v>
      </c>
      <c r="EI7" s="207" t="str">
        <f>IF(ISBLANK(fixtures!$L40),"",fixtures!$L40)</f>
        <v/>
      </c>
      <c r="EJ7" s="19" t="str">
        <f>IF(ISBLANK(fixtures!$L40),"",":")</f>
        <v/>
      </c>
      <c r="EK7" s="209" t="str">
        <f>IF(ISBLANK(fixtures!$K40),"",fixtures!$K40)</f>
        <v/>
      </c>
      <c r="EL7" s="19" t="str">
        <f>IF(ISBLANK(fixtures!$L40),"",IF(EI7&gt;EK7,"W",IF(EI7=EK7,"D","L")))</f>
        <v/>
      </c>
      <c r="EM7" s="19"/>
      <c r="EN7" s="19"/>
      <c r="EO7" s="80">
        <v>14</v>
      </c>
      <c r="EP7" s="21" t="s">
        <v>436</v>
      </c>
      <c r="EQ7" s="245">
        <f ca="1">IFERROR(INDIRECT("fixtures!" &amp; Dashboard!J1 &amp;41) - Dashboard!K1/24,"TBC")</f>
        <v>45914.6875</v>
      </c>
      <c r="ER7" s="21"/>
      <c r="ES7" s="21" t="s">
        <v>11</v>
      </c>
      <c r="ET7" s="21" t="s">
        <v>93</v>
      </c>
      <c r="EU7" s="80" t="str">
        <f>IF(ISBLANK(fixtures!$K41),"",fixtures!$K41)</f>
        <v/>
      </c>
      <c r="EV7" s="21" t="str">
        <f>IF(ISBLANK(fixtures!$L41),"",":")</f>
        <v/>
      </c>
      <c r="EW7" s="82" t="str">
        <f>IF(ISBLANK(fixtures!$L41),"",fixtures!$L41)</f>
        <v/>
      </c>
      <c r="EX7" s="21" t="str">
        <f>IF(ISBLANK(fixtures!$L41),"",IF(EU7&gt;EW7,"W",IF(EU7=EW7,"D","L")))</f>
        <v/>
      </c>
      <c r="EY7" s="21"/>
      <c r="EZ7" s="21"/>
      <c r="FA7" s="251">
        <v>14</v>
      </c>
      <c r="FB7" s="23" t="s">
        <v>436</v>
      </c>
      <c r="FC7" s="253">
        <f ca="1">IFERROR(INDIRECT("fixtures!" &amp; Dashboard!J1 &amp;41) - Dashboard!K1/24,"TBC")</f>
        <v>45914.6875</v>
      </c>
      <c r="FD7" s="23"/>
      <c r="FE7" s="23" t="s">
        <v>10</v>
      </c>
      <c r="FF7" s="23" t="s">
        <v>92</v>
      </c>
      <c r="FG7" s="251" t="str">
        <f>IF(ISBLANK(fixtures!$L41),"",fixtures!$L41)</f>
        <v/>
      </c>
      <c r="FH7" s="23" t="str">
        <f>IF(ISBLANK(fixtures!$L41),"",":")</f>
        <v/>
      </c>
      <c r="FI7" s="252" t="str">
        <f>IF(ISBLANK(fixtures!$K41),"",fixtures!$K41)</f>
        <v/>
      </c>
      <c r="FJ7" s="23" t="str">
        <f>IF(ISBLANK(fixtures!$L41),"",IF(FG7&gt;FI7,"W",IF(FG7=FI7,"D","L")))</f>
        <v/>
      </c>
      <c r="FK7" s="23"/>
      <c r="FL7" s="23"/>
      <c r="FM7" s="85">
        <v>13</v>
      </c>
      <c r="FN7" s="25" t="s">
        <v>218</v>
      </c>
      <c r="FO7" s="259">
        <f ca="1">IFERROR(INDIRECT("fixtures!" &amp; Dashboard!J1 &amp;37) - Dashboard!K1/24,"TBC")</f>
        <v>45913.625</v>
      </c>
      <c r="FP7" s="25"/>
      <c r="FQ7" s="25" t="s">
        <v>15</v>
      </c>
      <c r="FR7" s="25" t="s">
        <v>93</v>
      </c>
      <c r="FS7" s="85" t="str">
        <f>IF(ISBLANK(fixtures!$K37),"",fixtures!$K37)</f>
        <v/>
      </c>
      <c r="FT7" s="25" t="str">
        <f>IF(ISBLANK(fixtures!$L37),"",":")</f>
        <v/>
      </c>
      <c r="FU7" s="87" t="str">
        <f>IF(ISBLANK(fixtures!$L37),"",fixtures!$L37)</f>
        <v/>
      </c>
      <c r="FV7" s="25" t="str">
        <f>IF(ISBLANK(fixtures!$L37),"",IF(FS7&gt;FU7,"W",IF(FS7=FU7,"D","L")))</f>
        <v/>
      </c>
      <c r="FW7" s="25"/>
      <c r="FX7" s="25"/>
      <c r="FY7" s="402">
        <v>13</v>
      </c>
      <c r="FZ7" s="390" t="s">
        <v>218</v>
      </c>
      <c r="GA7" s="404">
        <f ca="1">IFERROR(INDIRECT("fixtures!" &amp; Dashboard!J1 &amp;32) - Dashboard!K1/24,"TBC")</f>
        <v>45913.520833333336</v>
      </c>
      <c r="GB7" s="390"/>
      <c r="GC7" s="390" t="s">
        <v>1</v>
      </c>
      <c r="GD7" s="390" t="s">
        <v>92</v>
      </c>
      <c r="GE7" s="402" t="str">
        <f>IF(ISBLANK(fixtures!$L32),"",fixtures!$L32)</f>
        <v/>
      </c>
      <c r="GF7" s="390" t="str">
        <f>IF(ISBLANK(fixtures!$L32),"",":")</f>
        <v/>
      </c>
      <c r="GG7" s="403" t="str">
        <f>IF(ISBLANK(fixtures!$K32),"",fixtures!$K32)</f>
        <v/>
      </c>
      <c r="GH7" s="390" t="str">
        <f>IF(ISBLANK(fixtures!$L32),"",IF(GE7&gt;GG7,"W",IF(GE7=GG7,"D","L")))</f>
        <v/>
      </c>
      <c r="GI7" s="390"/>
      <c r="GJ7" s="390"/>
      <c r="GK7" s="89">
        <v>13</v>
      </c>
      <c r="GL7" s="27" t="s">
        <v>218</v>
      </c>
      <c r="GM7" s="266">
        <f ca="1">IFERROR(INDIRECT("fixtures!" &amp; Dashboard!J1 &amp;38) - Dashboard!K1/24,"TBC")</f>
        <v>45913.729166666664</v>
      </c>
      <c r="GN7" s="27"/>
      <c r="GO7" s="27" t="s">
        <v>14</v>
      </c>
      <c r="GP7" s="27" t="s">
        <v>92</v>
      </c>
      <c r="GQ7" s="89" t="str">
        <f>IF(ISBLANK(fixtures!$L38),"",fixtures!$L38)</f>
        <v/>
      </c>
      <c r="GR7" s="27" t="str">
        <f>IF(ISBLANK(fixtures!$L38),"",":")</f>
        <v/>
      </c>
      <c r="GS7" s="90" t="str">
        <f>IF(ISBLANK(fixtures!$K38),"",fixtures!$K38)</f>
        <v/>
      </c>
      <c r="GT7" s="27" t="str">
        <f>IF(ISBLANK(fixtures!$L38),"",IF(GQ7&gt;GS7,"W",IF(GQ7=GS7,"D","L")))</f>
        <v/>
      </c>
      <c r="GU7" s="27"/>
      <c r="GV7" s="27"/>
      <c r="GW7" s="382">
        <v>13</v>
      </c>
      <c r="GX7" s="380" t="s">
        <v>218</v>
      </c>
      <c r="GY7" s="384">
        <f ca="1">IFERROR(INDIRECT("fixtures!" &amp; Dashboard!J1 &amp;34) - Dashboard!K1/24,"TBC")</f>
        <v>45913.625</v>
      </c>
      <c r="GZ7" s="380"/>
      <c r="HA7" s="380" t="s">
        <v>7</v>
      </c>
      <c r="HB7" s="380" t="s">
        <v>92</v>
      </c>
      <c r="HC7" s="382" t="str">
        <f>IF(ISBLANK(fixtures!$L34),"",fixtures!$L34)</f>
        <v/>
      </c>
      <c r="HD7" s="380" t="str">
        <f>IF(ISBLANK(fixtures!$L34),"",":")</f>
        <v/>
      </c>
      <c r="HE7" s="383" t="str">
        <f>IF(ISBLANK(fixtures!$K34),"",fixtures!$K34)</f>
        <v/>
      </c>
      <c r="HF7" s="380" t="str">
        <f>IF(ISBLANK(fixtures!$L34),"",IF(HC7&gt;HE7,"W",IF(HC7=HE7,"D","L")))</f>
        <v/>
      </c>
      <c r="HG7" s="380"/>
      <c r="HH7" s="380"/>
      <c r="HI7" s="92">
        <v>13</v>
      </c>
      <c r="HJ7" s="29" t="s">
        <v>218</v>
      </c>
      <c r="HK7" s="272">
        <f ca="1">IFERROR(INDIRECT("fixtures!" &amp; Dashboard!J1 &amp;38) - Dashboard!K1/24,"TBC")</f>
        <v>45913.729166666664</v>
      </c>
      <c r="HL7" s="29"/>
      <c r="HM7" s="29" t="s">
        <v>13</v>
      </c>
      <c r="HN7" s="29" t="s">
        <v>93</v>
      </c>
      <c r="HO7" s="92" t="str">
        <f>IF(ISBLANK(fixtures!$K38),"",fixtures!$K38)</f>
        <v/>
      </c>
      <c r="HP7" s="29" t="str">
        <f>IF(ISBLANK(fixtures!$L38),"",":")</f>
        <v/>
      </c>
      <c r="HQ7" s="94" t="str">
        <f>IF(ISBLANK(fixtures!$L38),"",fixtures!$L38)</f>
        <v/>
      </c>
      <c r="HR7" s="29" t="str">
        <f>IF(ISBLANK(fixtures!$L38),"",IF(HO7&gt;HQ7,"W",IF(HO7=HQ7,"D","L")))</f>
        <v/>
      </c>
      <c r="HS7" s="29"/>
      <c r="HT7" s="29"/>
      <c r="HU7" s="97">
        <v>13</v>
      </c>
      <c r="HV7" s="31" t="s">
        <v>218</v>
      </c>
      <c r="HW7" s="278">
        <f ca="1">IFERROR(INDIRECT("fixtures!" &amp; Dashboard!J1 &amp;37) - Dashboard!K1/24,"TBC")</f>
        <v>45913.625</v>
      </c>
      <c r="HX7" s="31"/>
      <c r="HY7" s="31" t="s">
        <v>12</v>
      </c>
      <c r="HZ7" s="31" t="s">
        <v>92</v>
      </c>
      <c r="IA7" s="97" t="str">
        <f>IF(ISBLANK(fixtures!$L37),"",fixtures!$L37)</f>
        <v/>
      </c>
      <c r="IB7" s="31" t="str">
        <f>IF(ISBLANK(fixtures!$L37),"",":")</f>
        <v/>
      </c>
      <c r="IC7" s="99" t="str">
        <f>IF(ISBLANK(fixtures!$K37),"",fixtures!$K37)</f>
        <v/>
      </c>
      <c r="ID7" s="31" t="str">
        <f>IF(ISBLANK(fixtures!$L37),"",IF(IA7&gt;IC7,"W",IF(IA7=IC7,"D","L")))</f>
        <v/>
      </c>
      <c r="IE7" s="31"/>
      <c r="IF7" s="31"/>
      <c r="II7" s="112"/>
    </row>
    <row r="8" spans="1:243">
      <c r="A8" s="66">
        <v>21</v>
      </c>
      <c r="B8" s="6" t="s">
        <v>436</v>
      </c>
      <c r="C8" s="214">
        <f ca="1">IFERROR(INDIRECT("fixtures!" &amp; Dashboard!J1 &amp;51) - Dashboard!K1/24,"TBC")</f>
        <v>45921.6875</v>
      </c>
      <c r="D8" s="6"/>
      <c r="E8" s="6" t="s">
        <v>10</v>
      </c>
      <c r="F8" s="6" t="s">
        <v>93</v>
      </c>
      <c r="G8" s="66" t="str">
        <f>IF(ISBLANK(fixtures!$K51),"",fixtures!$K51)</f>
        <v/>
      </c>
      <c r="H8" s="6" t="str">
        <f>IF(ISBLANK(fixtures!$L51),"",":")</f>
        <v/>
      </c>
      <c r="I8" s="68" t="str">
        <f>IF(ISBLANK(fixtures!$L51),"",fixtures!$L51)</f>
        <v/>
      </c>
      <c r="J8" s="6" t="str">
        <f>IF(ISBLANK(fixtures!$L51),"",IF(G8&gt;I8,"W",IF(G8=I8,"D","L")))</f>
        <v/>
      </c>
      <c r="K8" s="6"/>
      <c r="L8" s="6"/>
      <c r="M8" s="382">
        <v>21</v>
      </c>
      <c r="N8" s="380" t="s">
        <v>436</v>
      </c>
      <c r="O8" s="384">
        <f ca="1">IFERROR(INDIRECT("fixtures!" &amp; Dashboard!J1 &amp;50) - Dashboard!K1/24,"TBC")</f>
        <v>45921.583333333336</v>
      </c>
      <c r="P8" s="380"/>
      <c r="Q8" s="380" t="s">
        <v>443</v>
      </c>
      <c r="R8" s="380" t="s">
        <v>92</v>
      </c>
      <c r="S8" s="382" t="str">
        <f>IF(ISBLANK(fixtures!$L50),"",fixtures!$L50)</f>
        <v/>
      </c>
      <c r="T8" s="380" t="str">
        <f>IF(ISBLANK(fixtures!$L50),"",":")</f>
        <v/>
      </c>
      <c r="U8" s="383" t="str">
        <f>IF(ISBLANK(fixtures!$K50),"",fixtures!$K50)</f>
        <v/>
      </c>
      <c r="V8" s="380" t="str">
        <f>IF(ISBLANK(fixtures!$L50),"",IF(S8&gt;U8,"W",IF(S8=U8,"D","L")))</f>
        <v/>
      </c>
      <c r="W8" s="380"/>
      <c r="X8" s="380"/>
      <c r="Y8" s="418">
        <v>20</v>
      </c>
      <c r="Z8" s="412" t="s">
        <v>218</v>
      </c>
      <c r="AA8" s="420">
        <f ca="1">IFERROR(INDIRECT("fixtures!" &amp; Dashboard!J1 &amp;43) - Dashboard!K1/24,"TBC")</f>
        <v>45920.625</v>
      </c>
      <c r="AB8" s="412"/>
      <c r="AC8" s="412" t="s">
        <v>12</v>
      </c>
      <c r="AD8" s="412" t="s">
        <v>93</v>
      </c>
      <c r="AE8" s="418" t="str">
        <f>IF(ISBLANK(fixtures!$K43),"",fixtures!$K43)</f>
        <v/>
      </c>
      <c r="AF8" s="412" t="str">
        <f>IF(ISBLANK(fixtures!$L43),"",":")</f>
        <v/>
      </c>
      <c r="AG8" s="419" t="str">
        <f>IF(ISBLANK(fixtures!$L43),"",fixtures!$L43)</f>
        <v/>
      </c>
      <c r="AH8" s="412" t="str">
        <f>IF(ISBLANK(fixtures!$L43),"",IF(AE8&gt;AG8,"W",IF(AE8=AG8,"D","L")))</f>
        <v/>
      </c>
      <c r="AI8" s="412"/>
      <c r="AJ8" s="412"/>
      <c r="AK8" s="427">
        <v>20</v>
      </c>
      <c r="AL8" s="413" t="s">
        <v>218</v>
      </c>
      <c r="AM8" s="429">
        <f ca="1">IFERROR(INDIRECT("fixtures!" &amp; Dashboard!J1 &amp;49) - Dashboard!K1/24,"TBC")</f>
        <v>45920.833333333336</v>
      </c>
      <c r="AN8" s="413"/>
      <c r="AO8" s="413" t="s">
        <v>108</v>
      </c>
      <c r="AP8" s="413" t="s">
        <v>92</v>
      </c>
      <c r="AQ8" s="427" t="str">
        <f>IF(ISBLANK(fixtures!$L49),"",fixtures!$L49)</f>
        <v/>
      </c>
      <c r="AR8" s="413" t="str">
        <f>IF(ISBLANK(fixtures!$L49),"",":")</f>
        <v/>
      </c>
      <c r="AS8" s="428" t="str">
        <f>IF(ISBLANK(fixtures!$K49),"",fixtures!$K49)</f>
        <v/>
      </c>
      <c r="AT8" s="413" t="str">
        <f>IF(ISBLANK(fixtures!$L49),"",IF(AQ8&gt;AS8,"W",IF(AQ8=AS8,"D","L")))</f>
        <v/>
      </c>
      <c r="AU8" s="413"/>
      <c r="AV8" s="413"/>
      <c r="AW8" s="71">
        <v>20</v>
      </c>
      <c r="AX8" s="9" t="s">
        <v>218</v>
      </c>
      <c r="AY8" s="219">
        <f ca="1">IFERROR(INDIRECT("fixtures!" &amp; Dashboard!J1 &amp;44) - Dashboard!K1/24,"TBC")</f>
        <v>45920.625</v>
      </c>
      <c r="AZ8" s="9"/>
      <c r="BA8" s="9" t="s">
        <v>13</v>
      </c>
      <c r="BB8" s="9" t="s">
        <v>93</v>
      </c>
      <c r="BC8" s="71" t="str">
        <f>IF(ISBLANK(fixtures!$K44),"",fixtures!$K44)</f>
        <v/>
      </c>
      <c r="BD8" s="9" t="str">
        <f>IF(ISBLANK(fixtures!$L44),"",":")</f>
        <v/>
      </c>
      <c r="BE8" s="73" t="str">
        <f>IF(ISBLANK(fixtures!$L44),"",fixtures!$L44)</f>
        <v/>
      </c>
      <c r="BF8" s="9" t="str">
        <f>IF(ISBLANK(fixtures!$L44),"",IF(BC8&gt;BE8,"W",IF(BC8=BE8,"D","L")))</f>
        <v/>
      </c>
      <c r="BG8" s="9"/>
      <c r="BH8" s="9"/>
      <c r="BI8" s="436">
        <v>20</v>
      </c>
      <c r="BJ8" s="414" t="s">
        <v>218</v>
      </c>
      <c r="BK8" s="438">
        <f ca="1">IFERROR(INDIRECT("fixtures!" &amp; Dashboard!J1 &amp;45) - Dashboard!K1/24,"TBC")</f>
        <v>45920.625</v>
      </c>
      <c r="BL8" s="414"/>
      <c r="BM8" s="414" t="s">
        <v>188</v>
      </c>
      <c r="BN8" s="414" t="s">
        <v>93</v>
      </c>
      <c r="BO8" s="436" t="str">
        <f>IF(ISBLANK(fixtures!$K45),"",fixtures!$K45)</f>
        <v/>
      </c>
      <c r="BP8" s="414" t="str">
        <f>IF(ISBLANK(fixtures!$L45),"",":")</f>
        <v/>
      </c>
      <c r="BQ8" s="437" t="str">
        <f>IF(ISBLANK(fixtures!$L45),"",fixtures!$L45)</f>
        <v/>
      </c>
      <c r="BR8" s="414" t="str">
        <f>IF(ISBLANK(fixtures!$L45),"",IF(BO8&gt;BQ8,"W",IF(BO8=BQ8,"D","L")))</f>
        <v/>
      </c>
      <c r="BS8" s="414"/>
      <c r="BT8" s="414"/>
      <c r="BU8" s="146">
        <v>20</v>
      </c>
      <c r="BV8" s="13" t="s">
        <v>218</v>
      </c>
      <c r="BW8" s="225">
        <f ca="1">IFERROR(INDIRECT("fixtures!" &amp; Dashboard!J1 &amp;48) - Dashboard!K1/24,"TBC")</f>
        <v>45920.729166666664</v>
      </c>
      <c r="BX8" s="13"/>
      <c r="BY8" s="13" t="s">
        <v>11</v>
      </c>
      <c r="BZ8" s="13" t="s">
        <v>92</v>
      </c>
      <c r="CA8" s="146" t="str">
        <f>IF(ISBLANK(fixtures!$L48),"",fixtures!$L48)</f>
        <v/>
      </c>
      <c r="CB8" s="13" t="str">
        <f>IF(ISBLANK(fixtures!$L48),"",":")</f>
        <v/>
      </c>
      <c r="CC8" s="148" t="str">
        <f>IF(ISBLANK(fixtures!$K48),"",fixtures!$K48)</f>
        <v/>
      </c>
      <c r="CD8" s="13" t="str">
        <f>IF(ISBLANK(fixtures!$L48),"",IF(CA8&gt;CC8,"W",IF(CA8=CC8,"D","L")))</f>
        <v/>
      </c>
      <c r="CE8" s="13"/>
      <c r="CF8" s="13"/>
      <c r="CG8" s="394">
        <v>20</v>
      </c>
      <c r="CH8" s="14" t="s">
        <v>218</v>
      </c>
      <c r="CI8" s="396">
        <f ca="1">IFERROR(INDIRECT("fixtures!" &amp; Dashboard!J1 &amp;46) - Dashboard!K1/24,"TBC")</f>
        <v>45920.625</v>
      </c>
      <c r="CJ8" s="14"/>
      <c r="CK8" s="14" t="s">
        <v>14</v>
      </c>
      <c r="CL8" s="14" t="s">
        <v>92</v>
      </c>
      <c r="CM8" s="394" t="str">
        <f>IF(ISBLANK(fixtures!$L46),"",fixtures!$L46)</f>
        <v/>
      </c>
      <c r="CN8" s="14" t="str">
        <f>IF(ISBLANK(fixtures!$L46),"",":")</f>
        <v/>
      </c>
      <c r="CO8" s="395" t="str">
        <f>IF(ISBLANK(fixtures!$K46),"",fixtures!$K46)</f>
        <v/>
      </c>
      <c r="CP8" s="14" t="str">
        <f>IF(ISBLANK(fixtures!$L46),"",IF(CM8&gt;CO8,"W",IF(CM8=CO8,"D","L")))</f>
        <v/>
      </c>
      <c r="CQ8" s="14"/>
      <c r="CR8" s="14"/>
      <c r="CS8" s="231">
        <v>20</v>
      </c>
      <c r="CT8" s="17" t="s">
        <v>218</v>
      </c>
      <c r="CU8" s="233">
        <f ca="1">IFERROR(INDIRECT("fixtures!" &amp; Dashboard!J1 &amp;42) - Dashboard!K1/24,"TBC")</f>
        <v>45920.520833333336</v>
      </c>
      <c r="CV8" s="17"/>
      <c r="CW8" s="17" t="s">
        <v>9</v>
      </c>
      <c r="CX8" s="17" t="s">
        <v>92</v>
      </c>
      <c r="CY8" s="231" t="str">
        <f>IF(ISBLANK(fixtures!$L42),"",fixtures!$L42)</f>
        <v/>
      </c>
      <c r="CZ8" s="17" t="str">
        <f>IF(ISBLANK(fixtures!$L42),"",":")</f>
        <v/>
      </c>
      <c r="DA8" s="232" t="str">
        <f>IF(ISBLANK(fixtures!$K42),"",fixtures!$K42)</f>
        <v/>
      </c>
      <c r="DB8" s="17" t="str">
        <f>IF(ISBLANK(fixtures!$L42),"",IF(CY8&gt;DA8,"W",IF(CY8=DA8,"D","L")))</f>
        <v/>
      </c>
      <c r="DC8" s="17"/>
      <c r="DD8" s="17"/>
      <c r="DE8" s="444">
        <v>20</v>
      </c>
      <c r="DF8" s="143" t="s">
        <v>218</v>
      </c>
      <c r="DG8" s="446">
        <f ca="1">IFERROR(INDIRECT("fixtures!" &amp; Dashboard!J1 &amp;49) - Dashboard!K1/24,"TBC")</f>
        <v>45920.833333333336</v>
      </c>
      <c r="DH8" s="143"/>
      <c r="DI8" s="143" t="s">
        <v>107</v>
      </c>
      <c r="DJ8" s="143" t="s">
        <v>93</v>
      </c>
      <c r="DK8" s="444" t="str">
        <f>IF(ISBLANK(fixtures!$K49),"",fixtures!$K49)</f>
        <v/>
      </c>
      <c r="DL8" s="143" t="str">
        <f>IF(ISBLANK(fixtures!$L49),"",":")</f>
        <v/>
      </c>
      <c r="DM8" s="445" t="str">
        <f>IF(ISBLANK(fixtures!$L49),"",fixtures!$L49)</f>
        <v/>
      </c>
      <c r="DN8" s="143" t="str">
        <f>IF(ISBLANK(fixtures!$L49),"",IF(DK8&gt;DM8,"W",IF(DK8=DM8,"D","L")))</f>
        <v/>
      </c>
      <c r="DO8" s="143"/>
      <c r="DP8" s="143"/>
      <c r="DQ8" s="382">
        <v>20</v>
      </c>
      <c r="DR8" s="380" t="s">
        <v>218</v>
      </c>
      <c r="DS8" s="384">
        <f ca="1">IFERROR(INDIRECT("fixtures!" &amp; Dashboard!J1 &amp;47) - Dashboard!K1/24,"TBC")</f>
        <v>45920.625</v>
      </c>
      <c r="DT8" s="380"/>
      <c r="DU8" s="380" t="s">
        <v>15</v>
      </c>
      <c r="DV8" s="380" t="s">
        <v>92</v>
      </c>
      <c r="DW8" s="382" t="str">
        <f>IF(ISBLANK(fixtures!$L47),"",fixtures!$L47)</f>
        <v/>
      </c>
      <c r="DX8" s="380" t="str">
        <f>IF(ISBLANK(fixtures!$L47),"",":")</f>
        <v/>
      </c>
      <c r="DY8" s="383" t="str">
        <f>IF(ISBLANK(fixtures!$K47),"",fixtures!$K47)</f>
        <v/>
      </c>
      <c r="DZ8" s="380" t="str">
        <f>IF(ISBLANK(fixtures!$L47),"",IF(DW8&gt;DY8,"W",IF(DW8=DY8,"D","L")))</f>
        <v/>
      </c>
      <c r="EA8" s="380"/>
      <c r="EB8" s="380"/>
      <c r="EC8" s="207">
        <v>20</v>
      </c>
      <c r="ED8" s="19" t="s">
        <v>218</v>
      </c>
      <c r="EE8" s="239">
        <f ca="1">IFERROR(INDIRECT("fixtures!" &amp; Dashboard!J1 &amp;42) - Dashboard!K1/24,"TBC")</f>
        <v>45920.520833333336</v>
      </c>
      <c r="EF8" s="19"/>
      <c r="EG8" s="19" t="s">
        <v>8</v>
      </c>
      <c r="EH8" s="19" t="s">
        <v>93</v>
      </c>
      <c r="EI8" s="207" t="str">
        <f>IF(ISBLANK(fixtures!$K42),"",fixtures!$K42)</f>
        <v/>
      </c>
      <c r="EJ8" s="19" t="str">
        <f>IF(ISBLANK(fixtures!$L42),"",":")</f>
        <v/>
      </c>
      <c r="EK8" s="209" t="str">
        <f>IF(ISBLANK(fixtures!$L42),"",fixtures!$L42)</f>
        <v/>
      </c>
      <c r="EL8" s="19" t="str">
        <f>IF(ISBLANK(fixtures!$L42),"",IF(EI8&gt;EK8,"W",IF(EI8=EK8,"D","L")))</f>
        <v/>
      </c>
      <c r="EM8" s="19"/>
      <c r="EN8" s="19"/>
      <c r="EO8" s="80">
        <v>21</v>
      </c>
      <c r="EP8" s="21" t="s">
        <v>436</v>
      </c>
      <c r="EQ8" s="245">
        <f ca="1">IFERROR(INDIRECT("fixtures!" &amp; Dashboard!J1 &amp;51) - Dashboard!K1/24,"TBC")</f>
        <v>45921.6875</v>
      </c>
      <c r="ER8" s="21"/>
      <c r="ES8" s="21" t="s">
        <v>1</v>
      </c>
      <c r="ET8" s="21" t="s">
        <v>92</v>
      </c>
      <c r="EU8" s="80" t="str">
        <f>IF(ISBLANK(fixtures!$L51),"",fixtures!$L51)</f>
        <v/>
      </c>
      <c r="EV8" s="21" t="str">
        <f>IF(ISBLANK(fixtures!$L51),"",":")</f>
        <v/>
      </c>
      <c r="EW8" s="82" t="str">
        <f>IF(ISBLANK(fixtures!$K51),"",fixtures!$K51)</f>
        <v/>
      </c>
      <c r="EX8" s="21" t="str">
        <f>IF(ISBLANK(fixtures!$L51),"",IF(EU8&gt;EW8,"W",IF(EU8=EW8,"D","L")))</f>
        <v/>
      </c>
      <c r="EY8" s="21"/>
      <c r="EZ8" s="21"/>
      <c r="FA8" s="251">
        <v>20</v>
      </c>
      <c r="FB8" s="23" t="s">
        <v>218</v>
      </c>
      <c r="FC8" s="253">
        <f ca="1">IFERROR(INDIRECT("fixtures!" &amp; Dashboard!J1 &amp;48) - Dashboard!K1/24,"TBC")</f>
        <v>45920.729166666664</v>
      </c>
      <c r="FD8" s="23"/>
      <c r="FE8" s="23" t="s">
        <v>6</v>
      </c>
      <c r="FF8" s="23" t="s">
        <v>93</v>
      </c>
      <c r="FG8" s="251" t="str">
        <f>IF(ISBLANK(fixtures!$K48),"",fixtures!$K48)</f>
        <v/>
      </c>
      <c r="FH8" s="23" t="str">
        <f>IF(ISBLANK(fixtures!$L48),"",":")</f>
        <v/>
      </c>
      <c r="FI8" s="252" t="str">
        <f>IF(ISBLANK(fixtures!$L48),"",fixtures!$L48)</f>
        <v/>
      </c>
      <c r="FJ8" s="23" t="str">
        <f>IF(ISBLANK(fixtures!$L48),"",IF(FG8&gt;FI8,"W",IF(FG8=FI8,"D","L")))</f>
        <v/>
      </c>
      <c r="FK8" s="23"/>
      <c r="FL8" s="23"/>
      <c r="FM8" s="85">
        <v>20</v>
      </c>
      <c r="FN8" s="25" t="s">
        <v>218</v>
      </c>
      <c r="FO8" s="259">
        <f ca="1">IFERROR(INDIRECT("fixtures!" &amp; Dashboard!J1 &amp;43) - Dashboard!K1/24,"TBC")</f>
        <v>45920.625</v>
      </c>
      <c r="FP8" s="25"/>
      <c r="FQ8" s="25" t="s">
        <v>3</v>
      </c>
      <c r="FR8" s="25" t="s">
        <v>92</v>
      </c>
      <c r="FS8" s="85" t="str">
        <f>IF(ISBLANK(fixtures!$L43),"",fixtures!$L43)</f>
        <v/>
      </c>
      <c r="FT8" s="25" t="str">
        <f>IF(ISBLANK(fixtures!$L43),"",":")</f>
        <v/>
      </c>
      <c r="FU8" s="87" t="str">
        <f>IF(ISBLANK(fixtures!$K43),"",fixtures!$K43)</f>
        <v/>
      </c>
      <c r="FV8" s="25" t="str">
        <f>IF(ISBLANK(fixtures!$L43),"",IF(FS8&gt;FU8,"W",IF(FS8=FU8,"D","L")))</f>
        <v/>
      </c>
      <c r="FW8" s="25"/>
      <c r="FX8" s="25"/>
      <c r="FY8" s="402">
        <v>20</v>
      </c>
      <c r="FZ8" s="390" t="s">
        <v>218</v>
      </c>
      <c r="GA8" s="404">
        <f ca="1">IFERROR(INDIRECT("fixtures!" &amp; Dashboard!J1 &amp;45) - Dashboard!K1/24,"TBC")</f>
        <v>45920.625</v>
      </c>
      <c r="GB8" s="390"/>
      <c r="GC8" s="390" t="s">
        <v>5</v>
      </c>
      <c r="GD8" s="390" t="s">
        <v>92</v>
      </c>
      <c r="GE8" s="402" t="str">
        <f>IF(ISBLANK(fixtures!$L45),"",fixtures!$L45)</f>
        <v/>
      </c>
      <c r="GF8" s="390" t="str">
        <f>IF(ISBLANK(fixtures!$L45),"",":")</f>
        <v/>
      </c>
      <c r="GG8" s="403" t="str">
        <f>IF(ISBLANK(fixtures!$K45),"",fixtures!$K45)</f>
        <v/>
      </c>
      <c r="GH8" s="390" t="str">
        <f>IF(ISBLANK(fixtures!$L45),"",IF(GE8&gt;GG8,"W",IF(GE8=GG8,"D","L")))</f>
        <v/>
      </c>
      <c r="GI8" s="390"/>
      <c r="GJ8" s="390"/>
      <c r="GK8" s="89">
        <v>20</v>
      </c>
      <c r="GL8" s="27" t="s">
        <v>218</v>
      </c>
      <c r="GM8" s="266">
        <f ca="1">IFERROR(INDIRECT("fixtures!" &amp; Dashboard!J1 &amp;44) - Dashboard!K1/24,"TBC")</f>
        <v>45920.625</v>
      </c>
      <c r="GN8" s="27"/>
      <c r="GO8" s="27" t="s">
        <v>4</v>
      </c>
      <c r="GP8" s="27" t="s">
        <v>92</v>
      </c>
      <c r="GQ8" s="89" t="str">
        <f>IF(ISBLANK(fixtures!$L44),"",fixtures!$L44)</f>
        <v/>
      </c>
      <c r="GR8" s="27" t="str">
        <f>IF(ISBLANK(fixtures!$L44),"",":")</f>
        <v/>
      </c>
      <c r="GS8" s="90" t="str">
        <f>IF(ISBLANK(fixtures!$K44),"",fixtures!$K44)</f>
        <v/>
      </c>
      <c r="GT8" s="27" t="str">
        <f>IF(ISBLANK(fixtures!$L44),"",IF(GQ8&gt;GS8,"W",IF(GQ8=GS8,"D","L")))</f>
        <v/>
      </c>
      <c r="GU8" s="27"/>
      <c r="GV8" s="27"/>
      <c r="GW8" s="382">
        <v>21</v>
      </c>
      <c r="GX8" s="380" t="s">
        <v>436</v>
      </c>
      <c r="GY8" s="384">
        <f ca="1">IFERROR(INDIRECT("fixtures!" &amp; Dashboard!J1 &amp;50) - Dashboard!K1/24,"TBC")</f>
        <v>45921.583333333336</v>
      </c>
      <c r="GZ8" s="380"/>
      <c r="HA8" s="380" t="s">
        <v>2</v>
      </c>
      <c r="HB8" s="380" t="s">
        <v>93</v>
      </c>
      <c r="HC8" s="382" t="str">
        <f>IF(ISBLANK(fixtures!$K50),"",fixtures!$K50)</f>
        <v/>
      </c>
      <c r="HD8" s="380" t="str">
        <f>IF(ISBLANK(fixtures!$L50),"",":")</f>
        <v/>
      </c>
      <c r="HE8" s="383" t="str">
        <f>IF(ISBLANK(fixtures!$L50),"",fixtures!$L50)</f>
        <v/>
      </c>
      <c r="HF8" s="380" t="str">
        <f>IF(ISBLANK(fixtures!$L50),"",IF(HC8&gt;HE8,"W",IF(HC8=HE8,"D","L")))</f>
        <v/>
      </c>
      <c r="HG8" s="380"/>
      <c r="HH8" s="380"/>
      <c r="HI8" s="92">
        <v>20</v>
      </c>
      <c r="HJ8" s="29" t="s">
        <v>218</v>
      </c>
      <c r="HK8" s="272">
        <f ca="1">IFERROR(INDIRECT("fixtures!" &amp; Dashboard!J1 &amp;46) - Dashboard!K1/24,"TBC")</f>
        <v>45920.625</v>
      </c>
      <c r="HL8" s="29"/>
      <c r="HM8" s="29" t="s">
        <v>7</v>
      </c>
      <c r="HN8" s="29" t="s">
        <v>93</v>
      </c>
      <c r="HO8" s="92" t="str">
        <f>IF(ISBLANK(fixtures!$K46),"",fixtures!$K46)</f>
        <v/>
      </c>
      <c r="HP8" s="29" t="str">
        <f>IF(ISBLANK(fixtures!$L46),"",":")</f>
        <v/>
      </c>
      <c r="HQ8" s="94" t="str">
        <f>IF(ISBLANK(fixtures!$L46),"",fixtures!$L46)</f>
        <v/>
      </c>
      <c r="HR8" s="29" t="str">
        <f>IF(ISBLANK(fixtures!$L46),"",IF(HO8&gt;HQ8,"W",IF(HO8=HQ8,"D","L")))</f>
        <v/>
      </c>
      <c r="HS8" s="29"/>
      <c r="HT8" s="29"/>
      <c r="HU8" s="97">
        <v>20</v>
      </c>
      <c r="HV8" s="31" t="s">
        <v>218</v>
      </c>
      <c r="HW8" s="278">
        <f ca="1">IFERROR(INDIRECT("fixtures!" &amp; Dashboard!J1 &amp;47) - Dashboard!K1/24,"TBC")</f>
        <v>45920.625</v>
      </c>
      <c r="HX8" s="31"/>
      <c r="HY8" s="31" t="s">
        <v>444</v>
      </c>
      <c r="HZ8" s="31" t="s">
        <v>93</v>
      </c>
      <c r="IA8" s="97" t="str">
        <f>IF(ISBLANK(fixtures!$K47),"",fixtures!$K47)</f>
        <v/>
      </c>
      <c r="IB8" s="31" t="str">
        <f>IF(ISBLANK(fixtures!$L47),"",":")</f>
        <v/>
      </c>
      <c r="IC8" s="99" t="str">
        <f>IF(ISBLANK(fixtures!$L47),"",fixtures!$L47)</f>
        <v/>
      </c>
      <c r="ID8" s="31" t="str">
        <f>IF(ISBLANK(fixtures!$L47),"",IF(IA8&gt;IC8,"W",IF(IA8=IC8,"D","L")))</f>
        <v/>
      </c>
      <c r="IE8" s="31"/>
      <c r="IF8" s="31"/>
      <c r="II8" s="112"/>
    </row>
    <row r="9" spans="1:243">
      <c r="A9" s="66">
        <v>28</v>
      </c>
      <c r="B9" s="6" t="s">
        <v>436</v>
      </c>
      <c r="C9" s="214">
        <f ca="1">IFERROR(INDIRECT("fixtures!" &amp; Dashboard!J1 &amp;60) - Dashboard!K1/24,"TBC")</f>
        <v>45928.6875</v>
      </c>
      <c r="D9" s="6"/>
      <c r="E9" s="6" t="s">
        <v>12</v>
      </c>
      <c r="F9" s="6" t="s">
        <v>92</v>
      </c>
      <c r="G9" s="66" t="str">
        <f>IF(ISBLANK(fixtures!$L60),"",fixtures!$L60)</f>
        <v/>
      </c>
      <c r="H9" s="6" t="str">
        <f>IF(ISBLANK(fixtures!$L60),"",":")</f>
        <v/>
      </c>
      <c r="I9" s="68" t="str">
        <f>IF(ISBLANK(fixtures!$K60),"",fixtures!$K60)</f>
        <v/>
      </c>
      <c r="J9" s="6" t="str">
        <f>IF(ISBLANK(fixtures!$L60),"",IF(G9&gt;I9,"W",IF(G9=I9,"D","L")))</f>
        <v/>
      </c>
      <c r="K9" s="6"/>
      <c r="L9" s="6"/>
      <c r="M9" s="382">
        <v>27</v>
      </c>
      <c r="N9" s="380" t="s">
        <v>218</v>
      </c>
      <c r="O9" s="384">
        <f ca="1">IFERROR(INDIRECT("fixtures!" &amp; Dashboard!J1 &amp;53) - Dashboard!K1/24,"TBC")</f>
        <v>45927.625</v>
      </c>
      <c r="P9" s="380"/>
      <c r="Q9" s="380" t="s">
        <v>108</v>
      </c>
      <c r="R9" s="380" t="s">
        <v>93</v>
      </c>
      <c r="S9" s="382" t="str">
        <f>IF(ISBLANK(fixtures!$K53),"",fixtures!$K53)</f>
        <v/>
      </c>
      <c r="T9" s="380" t="str">
        <f>IF(ISBLANK(fixtures!$L53),"",":")</f>
        <v/>
      </c>
      <c r="U9" s="383" t="str">
        <f>IF(ISBLANK(fixtures!$L53),"",fixtures!$L53)</f>
        <v/>
      </c>
      <c r="V9" s="380" t="str">
        <f>IF(ISBLANK(fixtures!$L53),"",IF(S9&gt;U9,"W",IF(S9=U9,"D","L")))</f>
        <v/>
      </c>
      <c r="W9" s="380"/>
      <c r="X9" s="380"/>
      <c r="Y9" s="418">
        <v>27</v>
      </c>
      <c r="Z9" s="412" t="s">
        <v>218</v>
      </c>
      <c r="AA9" s="420">
        <f ca="1">IFERROR(INDIRECT("fixtures!" &amp; Dashboard!J1 &amp;56) - Dashboard!K1/24,"TBC")</f>
        <v>45927.625</v>
      </c>
      <c r="AB9" s="412"/>
      <c r="AC9" s="412" t="s">
        <v>444</v>
      </c>
      <c r="AD9" s="412" t="s">
        <v>92</v>
      </c>
      <c r="AE9" s="418" t="str">
        <f>IF(ISBLANK(fixtures!$L56),"",fixtures!$L56)</f>
        <v/>
      </c>
      <c r="AF9" s="412" t="str">
        <f>IF(ISBLANK(fixtures!$L56),"",":")</f>
        <v/>
      </c>
      <c r="AG9" s="419" t="str">
        <f>IF(ISBLANK(fixtures!$K56),"",fixtures!$K56)</f>
        <v/>
      </c>
      <c r="AH9" s="412" t="str">
        <f>IF(ISBLANK(fixtures!$L56),"",IF(AE9&gt;AG9,"W",IF(AE9=AG9,"D","L")))</f>
        <v/>
      </c>
      <c r="AI9" s="412"/>
      <c r="AJ9" s="412"/>
      <c r="AK9" s="427">
        <v>27</v>
      </c>
      <c r="AL9" s="413" t="s">
        <v>218</v>
      </c>
      <c r="AM9" s="429">
        <f ca="1">IFERROR(INDIRECT("fixtures!" &amp; Dashboard!J1 &amp;52) - Dashboard!K1/24,"TBC")</f>
        <v>45927.520833333336</v>
      </c>
      <c r="AN9" s="413"/>
      <c r="AO9" s="413" t="s">
        <v>11</v>
      </c>
      <c r="AP9" s="413" t="s">
        <v>93</v>
      </c>
      <c r="AQ9" s="427" t="str">
        <f>IF(ISBLANK(fixtures!$K52),"",fixtures!$K52)</f>
        <v/>
      </c>
      <c r="AR9" s="413" t="str">
        <f>IF(ISBLANK(fixtures!$L52),"",":")</f>
        <v/>
      </c>
      <c r="AS9" s="428" t="str">
        <f>IF(ISBLANK(fixtures!$L52),"",fixtures!$L52)</f>
        <v/>
      </c>
      <c r="AT9" s="413" t="str">
        <f>IF(ISBLANK(fixtures!$L52),"",IF(AQ9&gt;AS9,"W",IF(AQ9=AS9,"D","L")))</f>
        <v/>
      </c>
      <c r="AU9" s="413"/>
      <c r="AV9" s="413"/>
      <c r="AW9" s="71">
        <v>27</v>
      </c>
      <c r="AX9" s="9" t="s">
        <v>218</v>
      </c>
      <c r="AY9" s="219">
        <f ca="1">IFERROR(INDIRECT("fixtures!" &amp; Dashboard!J1 &amp;54) - Dashboard!K1/24,"TBC")</f>
        <v>45927.625</v>
      </c>
      <c r="AZ9" s="9"/>
      <c r="BA9" s="9" t="s">
        <v>6</v>
      </c>
      <c r="BB9" s="9" t="s">
        <v>92</v>
      </c>
      <c r="BC9" s="71" t="str">
        <f>IF(ISBLANK(fixtures!$L54),"",fixtures!$L54)</f>
        <v/>
      </c>
      <c r="BD9" s="9" t="str">
        <f>IF(ISBLANK(fixtures!$L54),"",":")</f>
        <v/>
      </c>
      <c r="BE9" s="73" t="str">
        <f>IF(ISBLANK(fixtures!$K54),"",fixtures!$K54)</f>
        <v/>
      </c>
      <c r="BF9" s="9" t="str">
        <f>IF(ISBLANK(fixtures!$L54),"",IF(BC9&gt;BE9,"W",IF(BC9=BE9,"D","L")))</f>
        <v/>
      </c>
      <c r="BG9" s="9"/>
      <c r="BH9" s="9"/>
      <c r="BI9" s="436">
        <v>27</v>
      </c>
      <c r="BJ9" s="414" t="s">
        <v>218</v>
      </c>
      <c r="BK9" s="438">
        <f ca="1">IFERROR(INDIRECT("fixtures!" &amp; Dashboard!J1 &amp;57) - Dashboard!K1/24,"TBC")</f>
        <v>45927.625</v>
      </c>
      <c r="BL9" s="414"/>
      <c r="BM9" s="414" t="s">
        <v>10</v>
      </c>
      <c r="BN9" s="414" t="s">
        <v>92</v>
      </c>
      <c r="BO9" s="436" t="str">
        <f>IF(ISBLANK(fixtures!$L57),"",fixtures!$L57)</f>
        <v/>
      </c>
      <c r="BP9" s="414" t="str">
        <f>IF(ISBLANK(fixtures!$L57),"",":")</f>
        <v/>
      </c>
      <c r="BQ9" s="437" t="str">
        <f>IF(ISBLANK(fixtures!$K57),"",fixtures!$K57)</f>
        <v/>
      </c>
      <c r="BR9" s="414" t="str">
        <f>IF(ISBLANK(fixtures!$L57),"",IF(BO9&gt;BQ9,"W",IF(BO9=BQ9,"D","L")))</f>
        <v/>
      </c>
      <c r="BS9" s="414"/>
      <c r="BT9" s="414"/>
      <c r="BU9" s="146">
        <v>27</v>
      </c>
      <c r="BV9" s="13" t="s">
        <v>218</v>
      </c>
      <c r="BW9" s="225">
        <f ca="1">IFERROR(INDIRECT("fixtures!" &amp; Dashboard!J1 &amp;54) - Dashboard!K1/24,"TBC")</f>
        <v>45927.625</v>
      </c>
      <c r="BX9" s="13"/>
      <c r="BY9" s="13" t="s">
        <v>4</v>
      </c>
      <c r="BZ9" s="13" t="s">
        <v>93</v>
      </c>
      <c r="CA9" s="146" t="str">
        <f>IF(ISBLANK(fixtures!$K54),"",fixtures!$K54)</f>
        <v/>
      </c>
      <c r="CB9" s="13" t="str">
        <f>IF(ISBLANK(fixtures!$L54),"",":")</f>
        <v/>
      </c>
      <c r="CC9" s="148" t="str">
        <f>IF(ISBLANK(fixtures!$L54),"",fixtures!$L54)</f>
        <v/>
      </c>
      <c r="CD9" s="13" t="str">
        <f>IF(ISBLANK(fixtures!$L54),"",IF(CA9&gt;CC9,"W",IF(CA9=CC9,"D","L")))</f>
        <v/>
      </c>
      <c r="CE9" s="13"/>
      <c r="CF9" s="13"/>
      <c r="CG9" s="394">
        <v>27</v>
      </c>
      <c r="CH9" s="14" t="s">
        <v>218</v>
      </c>
      <c r="CI9" s="396">
        <f ca="1">IFERROR(INDIRECT("fixtures!" &amp; Dashboard!J1 &amp;55) - Dashboard!K1/24,"TBC")</f>
        <v>45927.625</v>
      </c>
      <c r="CJ9" s="14"/>
      <c r="CK9" s="14" t="s">
        <v>9</v>
      </c>
      <c r="CL9" s="14" t="s">
        <v>93</v>
      </c>
      <c r="CM9" s="394" t="str">
        <f>IF(ISBLANK(fixtures!$K55),"",fixtures!$K55)</f>
        <v/>
      </c>
      <c r="CN9" s="14" t="str">
        <f>IF(ISBLANK(fixtures!$L55),"",":")</f>
        <v/>
      </c>
      <c r="CO9" s="395" t="str">
        <f>IF(ISBLANK(fixtures!$L55),"",fixtures!$L55)</f>
        <v/>
      </c>
      <c r="CP9" s="14" t="str">
        <f>IF(ISBLANK(fixtures!$L55),"",IF(CM9&gt;CO9,"W",IF(CM9=CO9,"D","L")))</f>
        <v/>
      </c>
      <c r="CQ9" s="14"/>
      <c r="CR9" s="14"/>
      <c r="CS9" s="231">
        <v>29</v>
      </c>
      <c r="CT9" s="17" t="s">
        <v>437</v>
      </c>
      <c r="CU9" s="233">
        <f ca="1">IFERROR(INDIRECT("fixtures!" &amp; Dashboard!J1 &amp;61) - Dashboard!K1/24,"TBC")</f>
        <v>45929.833333333336</v>
      </c>
      <c r="CV9" s="17"/>
      <c r="CW9" s="17" t="s">
        <v>14</v>
      </c>
      <c r="CX9" s="17" t="s">
        <v>93</v>
      </c>
      <c r="CY9" s="231" t="str">
        <f>IF(ISBLANK(fixtures!$K61),"",fixtures!$K61)</f>
        <v/>
      </c>
      <c r="CZ9" s="17" t="str">
        <f>IF(ISBLANK(fixtures!$L61),"",":")</f>
        <v/>
      </c>
      <c r="DA9" s="232" t="str">
        <f>IF(ISBLANK(fixtures!$L61),"",fixtures!$L61)</f>
        <v/>
      </c>
      <c r="DB9" s="17" t="str">
        <f>IF(ISBLANK(fixtures!$L61),"",IF(CY9&gt;DA9,"W",IF(CY9=DA9,"D","L")))</f>
        <v/>
      </c>
      <c r="DC9" s="17"/>
      <c r="DD9" s="17"/>
      <c r="DE9" s="444">
        <v>27</v>
      </c>
      <c r="DF9" s="143" t="s">
        <v>218</v>
      </c>
      <c r="DG9" s="446">
        <f ca="1">IFERROR(INDIRECT("fixtures!" &amp; Dashboard!J1 &amp;53) - Dashboard!K1/24,"TBC")</f>
        <v>45927.625</v>
      </c>
      <c r="DH9" s="143"/>
      <c r="DI9" s="143" t="s">
        <v>2</v>
      </c>
      <c r="DJ9" s="143" t="s">
        <v>92</v>
      </c>
      <c r="DK9" s="444" t="str">
        <f>IF(ISBLANK(fixtures!$L53),"",fixtures!$L53)</f>
        <v/>
      </c>
      <c r="DL9" s="143" t="str">
        <f>IF(ISBLANK(fixtures!$L53),"",":")</f>
        <v/>
      </c>
      <c r="DM9" s="445" t="str">
        <f>IF(ISBLANK(fixtures!$K53),"",fixtures!$K53)</f>
        <v/>
      </c>
      <c r="DN9" s="143" t="str">
        <f>IF(ISBLANK(fixtures!$L53),"",IF(DK9&gt;DM9,"W",IF(DK9=DM9,"D","L")))</f>
        <v/>
      </c>
      <c r="DO9" s="143"/>
      <c r="DP9" s="143"/>
      <c r="DQ9" s="382">
        <v>27</v>
      </c>
      <c r="DR9" s="380" t="s">
        <v>218</v>
      </c>
      <c r="DS9" s="384">
        <f ca="1">IFERROR(INDIRECT("fixtures!" &amp; Dashboard!J1 &amp;56) - Dashboard!K1/24,"TBC")</f>
        <v>45927.625</v>
      </c>
      <c r="DT9" s="380"/>
      <c r="DU9" s="380" t="s">
        <v>3</v>
      </c>
      <c r="DV9" s="380" t="s">
        <v>93</v>
      </c>
      <c r="DW9" s="382" t="str">
        <f>IF(ISBLANK(fixtures!$K56),"",fixtures!$K56)</f>
        <v/>
      </c>
      <c r="DX9" s="380" t="str">
        <f>IF(ISBLANK(fixtures!$L56),"",":")</f>
        <v/>
      </c>
      <c r="DY9" s="383" t="str">
        <f>IF(ISBLANK(fixtures!$L56),"",fixtures!$L56)</f>
        <v/>
      </c>
      <c r="DZ9" s="380" t="str">
        <f>IF(ISBLANK(fixtures!$L56),"",IF(DW9&gt;DY9,"W",IF(DW9=DY9,"D","L")))</f>
        <v/>
      </c>
      <c r="EA9" s="380"/>
      <c r="EB9" s="380"/>
      <c r="EC9" s="207">
        <v>27</v>
      </c>
      <c r="ED9" s="19" t="s">
        <v>218</v>
      </c>
      <c r="EE9" s="239">
        <f ca="1">IFERROR(INDIRECT("fixtures!" &amp; Dashboard!J1 &amp;55) - Dashboard!K1/24,"TBC")</f>
        <v>45927.625</v>
      </c>
      <c r="EF9" s="19"/>
      <c r="EG9" s="19" t="s">
        <v>7</v>
      </c>
      <c r="EH9" s="19" t="s">
        <v>92</v>
      </c>
      <c r="EI9" s="207" t="str">
        <f>IF(ISBLANK(fixtures!$L55),"",fixtures!$L55)</f>
        <v/>
      </c>
      <c r="EJ9" s="19" t="str">
        <f>IF(ISBLANK(fixtures!$L55),"",":")</f>
        <v/>
      </c>
      <c r="EK9" s="209" t="str">
        <f>IF(ISBLANK(fixtures!$K55),"",fixtures!$K55)</f>
        <v/>
      </c>
      <c r="EL9" s="19" t="str">
        <f>IF(ISBLANK(fixtures!$L55),"",IF(EI9&gt;EK9,"W",IF(EI9=EK9,"D","L")))</f>
        <v/>
      </c>
      <c r="EM9" s="19"/>
      <c r="EN9" s="19"/>
      <c r="EO9" s="80">
        <v>27</v>
      </c>
      <c r="EP9" s="21" t="s">
        <v>218</v>
      </c>
      <c r="EQ9" s="245">
        <f ca="1">IFERROR(INDIRECT("fixtures!" &amp; Dashboard!J1 &amp;57) - Dashboard!K1/24,"TBC")</f>
        <v>45927.625</v>
      </c>
      <c r="ER9" s="21"/>
      <c r="ES9" s="21" t="s">
        <v>5</v>
      </c>
      <c r="ET9" s="21" t="s">
        <v>93</v>
      </c>
      <c r="EU9" s="80" t="str">
        <f>IF(ISBLANK(fixtures!$K57),"",fixtures!$K57)</f>
        <v/>
      </c>
      <c r="EV9" s="21" t="str">
        <f>IF(ISBLANK(fixtures!$L57),"",":")</f>
        <v/>
      </c>
      <c r="EW9" s="82" t="str">
        <f>IF(ISBLANK(fixtures!$L57),"",fixtures!$L57)</f>
        <v/>
      </c>
      <c r="EX9" s="21" t="str">
        <f>IF(ISBLANK(fixtures!$L57),"",IF(EU9&gt;EW9,"W",IF(EU9=EW9,"D","L")))</f>
        <v/>
      </c>
      <c r="EY9" s="21"/>
      <c r="EZ9" s="21"/>
      <c r="FA9" s="251">
        <v>27</v>
      </c>
      <c r="FB9" s="23" t="s">
        <v>218</v>
      </c>
      <c r="FC9" s="253">
        <f ca="1">IFERROR(INDIRECT("fixtures!" &amp; Dashboard!J1 &amp;52) - Dashboard!K1/24,"TBC")</f>
        <v>45927.520833333336</v>
      </c>
      <c r="FD9" s="23"/>
      <c r="FE9" s="23" t="s">
        <v>107</v>
      </c>
      <c r="FF9" s="23" t="s">
        <v>92</v>
      </c>
      <c r="FG9" s="251" t="str">
        <f>IF(ISBLANK(fixtures!$L52),"",fixtures!$L52)</f>
        <v/>
      </c>
      <c r="FH9" s="23" t="str">
        <f>IF(ISBLANK(fixtures!$L52),"",":")</f>
        <v/>
      </c>
      <c r="FI9" s="252" t="str">
        <f>IF(ISBLANK(fixtures!$K52),"",fixtures!$K52)</f>
        <v/>
      </c>
      <c r="FJ9" s="23" t="str">
        <f>IF(ISBLANK(fixtures!$L52),"",IF(FG9&gt;FI9,"W",IF(FG9=FI9,"D","L")))</f>
        <v/>
      </c>
      <c r="FK9" s="23"/>
      <c r="FL9" s="23"/>
      <c r="FM9" s="85">
        <v>28</v>
      </c>
      <c r="FN9" s="25" t="s">
        <v>436</v>
      </c>
      <c r="FO9" s="259">
        <f ca="1">IFERROR(INDIRECT("fixtures!" &amp; Dashboard!J1 &amp;60) - Dashboard!K1/24,"TBC")</f>
        <v>45928.6875</v>
      </c>
      <c r="FP9" s="25"/>
      <c r="FQ9" s="25" t="s">
        <v>1</v>
      </c>
      <c r="FR9" s="25" t="s">
        <v>93</v>
      </c>
      <c r="FS9" s="85" t="str">
        <f>IF(ISBLANK(fixtures!$K60),"",fixtures!$K60)</f>
        <v/>
      </c>
      <c r="FT9" s="25" t="str">
        <f>IF(ISBLANK(fixtures!$L60),"",":")</f>
        <v/>
      </c>
      <c r="FU9" s="87" t="str">
        <f>IF(ISBLANK(fixtures!$L60),"",fixtures!$L60)</f>
        <v/>
      </c>
      <c r="FV9" s="25" t="str">
        <f>IF(ISBLANK(fixtures!$L60),"",IF(FS9&gt;FU9,"W",IF(FS9=FU9,"D","L")))</f>
        <v/>
      </c>
      <c r="FW9" s="25"/>
      <c r="FX9" s="25"/>
      <c r="FY9" s="402">
        <v>27</v>
      </c>
      <c r="FZ9" s="390" t="s">
        <v>218</v>
      </c>
      <c r="GA9" s="404">
        <f ca="1">IFERROR(INDIRECT("fixtures!" &amp; Dashboard!J1 &amp;58) - Dashboard!K1/24,"TBC")</f>
        <v>45927.729166666664</v>
      </c>
      <c r="GB9" s="390"/>
      <c r="GC9" s="390" t="s">
        <v>443</v>
      </c>
      <c r="GD9" s="390" t="s">
        <v>93</v>
      </c>
      <c r="GE9" s="402" t="str">
        <f>IF(ISBLANK(fixtures!$K58),"",fixtures!$K58)</f>
        <v/>
      </c>
      <c r="GF9" s="390" t="str">
        <f>IF(ISBLANK(fixtures!$L58),"",":")</f>
        <v/>
      </c>
      <c r="GG9" s="403" t="str">
        <f>IF(ISBLANK(fixtures!$L58),"",fixtures!$L58)</f>
        <v/>
      </c>
      <c r="GH9" s="390" t="str">
        <f>IF(ISBLANK(fixtures!$L58),"",IF(GE9&gt;GG9,"W",IF(GE9=GG9,"D","L")))</f>
        <v/>
      </c>
      <c r="GI9" s="390"/>
      <c r="GJ9" s="390"/>
      <c r="GK9" s="89">
        <v>28</v>
      </c>
      <c r="GL9" s="27" t="s">
        <v>436</v>
      </c>
      <c r="GM9" s="266">
        <f ca="1">IFERROR(INDIRECT("fixtures!" &amp; Dashboard!J1 &amp;59) - Dashboard!K1/24,"TBC")</f>
        <v>45928.583333333336</v>
      </c>
      <c r="GN9" s="27"/>
      <c r="GO9" s="27" t="s">
        <v>15</v>
      </c>
      <c r="GP9" s="27" t="s">
        <v>93</v>
      </c>
      <c r="GQ9" s="89" t="str">
        <f>IF(ISBLANK(fixtures!$K59),"",fixtures!$K59)</f>
        <v/>
      </c>
      <c r="GR9" s="27" t="str">
        <f>IF(ISBLANK(fixtures!$L59),"",":")</f>
        <v/>
      </c>
      <c r="GS9" s="90" t="str">
        <f>IF(ISBLANK(fixtures!$L59),"",fixtures!$L59)</f>
        <v/>
      </c>
      <c r="GT9" s="27" t="str">
        <f>IF(ISBLANK(fixtures!$L59),"",IF(GQ9&gt;GS9,"W",IF(GQ9=GS9,"D","L")))</f>
        <v/>
      </c>
      <c r="GU9" s="27"/>
      <c r="GV9" s="27"/>
      <c r="GW9" s="382">
        <v>27</v>
      </c>
      <c r="GX9" s="380" t="s">
        <v>218</v>
      </c>
      <c r="GY9" s="384">
        <f ca="1">IFERROR(INDIRECT("fixtures!" &amp; Dashboard!J1 &amp;58) - Dashboard!K1/24,"TBC")</f>
        <v>45927.729166666664</v>
      </c>
      <c r="GZ9" s="380"/>
      <c r="HA9" s="380" t="s">
        <v>188</v>
      </c>
      <c r="HB9" s="380" t="s">
        <v>92</v>
      </c>
      <c r="HC9" s="382" t="str">
        <f>IF(ISBLANK(fixtures!$L58),"",fixtures!$L58)</f>
        <v/>
      </c>
      <c r="HD9" s="380" t="str">
        <f>IF(ISBLANK(fixtures!$L58),"",":")</f>
        <v/>
      </c>
      <c r="HE9" s="383" t="str">
        <f>IF(ISBLANK(fixtures!$K58),"",fixtures!$K58)</f>
        <v/>
      </c>
      <c r="HF9" s="380" t="str">
        <f>IF(ISBLANK(fixtures!$L58),"",IF(HC9&gt;HE9,"W",IF(HC9=HE9,"D","L")))</f>
        <v/>
      </c>
      <c r="HG9" s="380"/>
      <c r="HH9" s="380"/>
      <c r="HI9" s="92">
        <v>29</v>
      </c>
      <c r="HJ9" s="29" t="s">
        <v>437</v>
      </c>
      <c r="HK9" s="272">
        <f ca="1">IFERROR(INDIRECT("fixtures!" &amp; Dashboard!J1 &amp;61) - Dashboard!K1/24,"TBC")</f>
        <v>45929.833333333336</v>
      </c>
      <c r="HL9" s="29"/>
      <c r="HM9" s="29" t="s">
        <v>8</v>
      </c>
      <c r="HN9" s="29" t="s">
        <v>92</v>
      </c>
      <c r="HO9" s="92" t="str">
        <f>IF(ISBLANK(fixtures!$L61),"",fixtures!$L61)</f>
        <v/>
      </c>
      <c r="HP9" s="29" t="str">
        <f>IF(ISBLANK(fixtures!$L61),"",":")</f>
        <v/>
      </c>
      <c r="HQ9" s="94" t="str">
        <f>IF(ISBLANK(fixtures!$K61),"",fixtures!$K61)</f>
        <v/>
      </c>
      <c r="HR9" s="29" t="str">
        <f>IF(ISBLANK(fixtures!$L61),"",IF(HO9&gt;HQ9,"W",IF(HO9=HQ9,"D","L")))</f>
        <v/>
      </c>
      <c r="HS9" s="29"/>
      <c r="HT9" s="29"/>
      <c r="HU9" s="97">
        <v>28</v>
      </c>
      <c r="HV9" s="31" t="s">
        <v>436</v>
      </c>
      <c r="HW9" s="278">
        <f ca="1">IFERROR(INDIRECT("fixtures!" &amp; Dashboard!J1 &amp;59) - Dashboard!K1/24,"TBC")</f>
        <v>45928.583333333336</v>
      </c>
      <c r="HX9" s="31"/>
      <c r="HY9" s="31" t="s">
        <v>13</v>
      </c>
      <c r="HZ9" s="31" t="s">
        <v>92</v>
      </c>
      <c r="IA9" s="97" t="str">
        <f>IF(ISBLANK(fixtures!$L59),"",fixtures!$L59)</f>
        <v/>
      </c>
      <c r="IB9" s="31" t="str">
        <f>IF(ISBLANK(fixtures!$L59),"",":")</f>
        <v/>
      </c>
      <c r="IC9" s="99" t="str">
        <f>IF(ISBLANK(fixtures!$K59),"",fixtures!$K59)</f>
        <v/>
      </c>
      <c r="ID9" s="31" t="str">
        <f>IF(ISBLANK(fixtures!$L59),"",IF(IA9&gt;IC9,"W",IF(IA9=IC9,"D","L")))</f>
        <v/>
      </c>
      <c r="IE9" s="31"/>
      <c r="IF9" s="31"/>
      <c r="II9" s="112"/>
    </row>
    <row r="10" spans="1:243">
      <c r="A10" s="215" t="s">
        <v>18</v>
      </c>
      <c r="B10" s="6"/>
      <c r="C10" s="214"/>
      <c r="D10" s="6"/>
      <c r="E10" s="6"/>
      <c r="F10" s="6"/>
      <c r="G10" s="66"/>
      <c r="H10" s="6"/>
      <c r="I10" s="68"/>
      <c r="J10" s="6"/>
      <c r="K10" s="6"/>
      <c r="L10" s="6"/>
      <c r="M10" s="385" t="s">
        <v>18</v>
      </c>
      <c r="N10" s="380"/>
      <c r="O10" s="384"/>
      <c r="P10" s="380"/>
      <c r="Q10" s="380"/>
      <c r="R10" s="380"/>
      <c r="S10" s="382"/>
      <c r="T10" s="380"/>
      <c r="U10" s="383"/>
      <c r="V10" s="380"/>
      <c r="W10" s="380"/>
      <c r="X10" s="380"/>
      <c r="Y10" s="421" t="s">
        <v>18</v>
      </c>
      <c r="Z10" s="412"/>
      <c r="AA10" s="420"/>
      <c r="AB10" s="412"/>
      <c r="AC10" s="412"/>
      <c r="AD10" s="412"/>
      <c r="AE10" s="418"/>
      <c r="AF10" s="412"/>
      <c r="AG10" s="419"/>
      <c r="AH10" s="412"/>
      <c r="AI10" s="412"/>
      <c r="AJ10" s="412"/>
      <c r="AK10" s="430" t="s">
        <v>18</v>
      </c>
      <c r="AL10" s="413"/>
      <c r="AM10" s="429"/>
      <c r="AN10" s="413"/>
      <c r="AO10" s="413"/>
      <c r="AP10" s="413"/>
      <c r="AQ10" s="427"/>
      <c r="AR10" s="413"/>
      <c r="AS10" s="428"/>
      <c r="AT10" s="413"/>
      <c r="AU10" s="413"/>
      <c r="AV10" s="413"/>
      <c r="AW10" s="220" t="s">
        <v>18</v>
      </c>
      <c r="AX10" s="9"/>
      <c r="AY10" s="219"/>
      <c r="AZ10" s="9"/>
      <c r="BA10" s="9"/>
      <c r="BB10" s="9"/>
      <c r="BC10" s="71"/>
      <c r="BD10" s="9"/>
      <c r="BE10" s="73"/>
      <c r="BF10" s="9"/>
      <c r="BG10" s="9"/>
      <c r="BH10" s="9"/>
      <c r="BI10" s="439" t="s">
        <v>18</v>
      </c>
      <c r="BJ10" s="414"/>
      <c r="BK10" s="438"/>
      <c r="BL10" s="414"/>
      <c r="BM10" s="414"/>
      <c r="BN10" s="414"/>
      <c r="BO10" s="436"/>
      <c r="BP10" s="414"/>
      <c r="BQ10" s="437"/>
      <c r="BR10" s="414"/>
      <c r="BS10" s="414"/>
      <c r="BT10" s="414"/>
      <c r="BU10" s="226" t="s">
        <v>18</v>
      </c>
      <c r="BV10" s="13"/>
      <c r="BW10" s="225"/>
      <c r="BX10" s="13"/>
      <c r="BY10" s="13"/>
      <c r="BZ10" s="13"/>
      <c r="CA10" s="146"/>
      <c r="CB10" s="13"/>
      <c r="CC10" s="148"/>
      <c r="CD10" s="13"/>
      <c r="CE10" s="13"/>
      <c r="CF10" s="13"/>
      <c r="CG10" s="397" t="s">
        <v>18</v>
      </c>
      <c r="CH10" s="14"/>
      <c r="CI10" s="396"/>
      <c r="CJ10" s="14"/>
      <c r="CK10" s="14"/>
      <c r="CL10" s="14"/>
      <c r="CM10" s="394"/>
      <c r="CN10" s="14"/>
      <c r="CO10" s="395"/>
      <c r="CP10" s="14"/>
      <c r="CQ10" s="14"/>
      <c r="CR10" s="14"/>
      <c r="CS10" s="234" t="s">
        <v>18</v>
      </c>
      <c r="CT10" s="17"/>
      <c r="CU10" s="233"/>
      <c r="CV10" s="17"/>
      <c r="CW10" s="17"/>
      <c r="CX10" s="17"/>
      <c r="CY10" s="231"/>
      <c r="CZ10" s="17"/>
      <c r="DA10" s="232"/>
      <c r="DB10" s="17"/>
      <c r="DC10" s="17"/>
      <c r="DD10" s="17"/>
      <c r="DE10" s="447" t="s">
        <v>18</v>
      </c>
      <c r="DF10" s="143"/>
      <c r="DG10" s="446"/>
      <c r="DH10" s="143"/>
      <c r="DI10" s="143"/>
      <c r="DJ10" s="143"/>
      <c r="DK10" s="444"/>
      <c r="DL10" s="143"/>
      <c r="DM10" s="445"/>
      <c r="DN10" s="143"/>
      <c r="DO10" s="143"/>
      <c r="DP10" s="143"/>
      <c r="DQ10" s="385" t="s">
        <v>18</v>
      </c>
      <c r="DR10" s="380"/>
      <c r="DS10" s="384"/>
      <c r="DT10" s="380"/>
      <c r="DU10" s="380"/>
      <c r="DV10" s="380"/>
      <c r="DW10" s="382"/>
      <c r="DX10" s="380"/>
      <c r="DY10" s="383"/>
      <c r="DZ10" s="380"/>
      <c r="EA10" s="380"/>
      <c r="EB10" s="380"/>
      <c r="EC10" s="240" t="s">
        <v>18</v>
      </c>
      <c r="ED10" s="19"/>
      <c r="EE10" s="239"/>
      <c r="EF10" s="19"/>
      <c r="EG10" s="19"/>
      <c r="EH10" s="19"/>
      <c r="EI10" s="207"/>
      <c r="EJ10" s="19"/>
      <c r="EK10" s="209"/>
      <c r="EL10" s="19"/>
      <c r="EM10" s="19"/>
      <c r="EN10" s="19"/>
      <c r="EO10" s="246" t="s">
        <v>18</v>
      </c>
      <c r="EP10" s="21"/>
      <c r="EQ10" s="245"/>
      <c r="ER10" s="21"/>
      <c r="ES10" s="21"/>
      <c r="ET10" s="21"/>
      <c r="EU10" s="80"/>
      <c r="EV10" s="21"/>
      <c r="EW10" s="82"/>
      <c r="EX10" s="21"/>
      <c r="EY10" s="21"/>
      <c r="EZ10" s="21"/>
      <c r="FA10" s="254" t="s">
        <v>18</v>
      </c>
      <c r="FB10" s="23"/>
      <c r="FC10" s="253"/>
      <c r="FD10" s="23"/>
      <c r="FE10" s="23"/>
      <c r="FF10" s="23"/>
      <c r="FG10" s="251"/>
      <c r="FH10" s="23"/>
      <c r="FI10" s="252"/>
      <c r="FJ10" s="23"/>
      <c r="FK10" s="23"/>
      <c r="FL10" s="23"/>
      <c r="FM10" s="260" t="s">
        <v>18</v>
      </c>
      <c r="FN10" s="25"/>
      <c r="FO10" s="259"/>
      <c r="FP10" s="25"/>
      <c r="FQ10" s="25"/>
      <c r="FR10" s="25"/>
      <c r="FS10" s="85"/>
      <c r="FT10" s="25"/>
      <c r="FU10" s="87"/>
      <c r="FV10" s="25"/>
      <c r="FW10" s="25"/>
      <c r="FX10" s="25"/>
      <c r="FY10" s="405" t="s">
        <v>18</v>
      </c>
      <c r="FZ10" s="390"/>
      <c r="GA10" s="404"/>
      <c r="GB10" s="390"/>
      <c r="GC10" s="390"/>
      <c r="GD10" s="390"/>
      <c r="GE10" s="402"/>
      <c r="GF10" s="390"/>
      <c r="GG10" s="403"/>
      <c r="GH10" s="390"/>
      <c r="GI10" s="390"/>
      <c r="GJ10" s="390"/>
      <c r="GK10" s="267" t="s">
        <v>18</v>
      </c>
      <c r="GL10" s="27"/>
      <c r="GM10" s="266"/>
      <c r="GN10" s="27"/>
      <c r="GO10" s="27"/>
      <c r="GP10" s="27"/>
      <c r="GQ10" s="89"/>
      <c r="GR10" s="27"/>
      <c r="GS10" s="90"/>
      <c r="GT10" s="27"/>
      <c r="GU10" s="27"/>
      <c r="GV10" s="27"/>
      <c r="GW10" s="385" t="s">
        <v>18</v>
      </c>
      <c r="GX10" s="380"/>
      <c r="GY10" s="384"/>
      <c r="GZ10" s="380"/>
      <c r="HA10" s="380"/>
      <c r="HB10" s="380"/>
      <c r="HC10" s="382"/>
      <c r="HD10" s="380"/>
      <c r="HE10" s="383"/>
      <c r="HF10" s="380"/>
      <c r="HG10" s="380"/>
      <c r="HH10" s="380"/>
      <c r="HI10" s="273" t="s">
        <v>18</v>
      </c>
      <c r="HJ10" s="29"/>
      <c r="HK10" s="272"/>
      <c r="HL10" s="29"/>
      <c r="HM10" s="29"/>
      <c r="HN10" s="29"/>
      <c r="HO10" s="92"/>
      <c r="HP10" s="29"/>
      <c r="HQ10" s="94"/>
      <c r="HR10" s="29"/>
      <c r="HS10" s="29"/>
      <c r="HT10" s="29"/>
      <c r="HU10" s="279" t="s">
        <v>18</v>
      </c>
      <c r="HV10" s="31"/>
      <c r="HW10" s="278"/>
      <c r="HX10" s="31"/>
      <c r="HY10" s="31"/>
      <c r="HZ10" s="31"/>
      <c r="IA10" s="97"/>
      <c r="IB10" s="31"/>
      <c r="IC10" s="99"/>
      <c r="ID10" s="31"/>
      <c r="IE10" s="31"/>
      <c r="IF10" s="31"/>
    </row>
    <row r="11" spans="1:243">
      <c r="A11" s="66">
        <v>4</v>
      </c>
      <c r="B11" s="6" t="s">
        <v>218</v>
      </c>
      <c r="C11" s="214">
        <f ca="1">IFERROR(INDIRECT("fixtures!" &amp; Dashboard!J1 &amp;62) - Dashboard!K1/24,"TBC")</f>
        <v>45934.625</v>
      </c>
      <c r="D11" s="6"/>
      <c r="E11" s="6" t="s">
        <v>14</v>
      </c>
      <c r="F11" s="6" t="s">
        <v>93</v>
      </c>
      <c r="G11" s="66" t="str">
        <f>IF(ISBLANK(fixtures!$K62),"",fixtures!$K62)</f>
        <v/>
      </c>
      <c r="H11" s="6" t="str">
        <f>IF(ISBLANK(fixtures!$L62),"",":")</f>
        <v/>
      </c>
      <c r="I11" s="68" t="str">
        <f>IF(ISBLANK(fixtures!$L62),"",fixtures!$L62)</f>
        <v/>
      </c>
      <c r="J11" s="6" t="str">
        <f>IF(ISBLANK(fixtures!$L62),"",IF(G11&gt;I11,"W",IF(G11=I11,"D","L")))</f>
        <v/>
      </c>
      <c r="K11" s="6"/>
      <c r="L11" s="6"/>
      <c r="M11" s="382">
        <v>4</v>
      </c>
      <c r="N11" s="383" t="s">
        <v>218</v>
      </c>
      <c r="O11" s="384">
        <f ca="1">IFERROR(INDIRECT("fixtures!" &amp; Dashboard!J1 &amp;63) - Dashboard!K1/24,"TBC")</f>
        <v>45934.625</v>
      </c>
      <c r="P11" s="380"/>
      <c r="Q11" s="380" t="s">
        <v>5</v>
      </c>
      <c r="R11" s="380" t="s">
        <v>93</v>
      </c>
      <c r="S11" s="382" t="str">
        <f>IF(ISBLANK(fixtures!$K63),"",fixtures!$K63)</f>
        <v/>
      </c>
      <c r="T11" s="380" t="str">
        <f>IF(ISBLANK(fixtures!$L63),"",":")</f>
        <v/>
      </c>
      <c r="U11" s="383" t="str">
        <f>IF(ISBLANK(fixtures!$L63),"",fixtures!$L63)</f>
        <v/>
      </c>
      <c r="V11" s="380" t="str">
        <f>IF(ISBLANK(fixtures!$L63),"",IF(S11&gt;U11,"W",IF(S11=U11,"D","L")))</f>
        <v/>
      </c>
      <c r="W11" s="380"/>
      <c r="X11" s="380"/>
      <c r="Y11" s="418">
        <v>4</v>
      </c>
      <c r="Z11" s="412" t="s">
        <v>218</v>
      </c>
      <c r="AA11" s="420">
        <f ca="1">IFERROR(INDIRECT("fixtures!" &amp; Dashboard!J1 &amp;64) - Dashboard!K1/24,"TBC")</f>
        <v>45934.625</v>
      </c>
      <c r="AB11" s="412"/>
      <c r="AC11" s="412" t="s">
        <v>108</v>
      </c>
      <c r="AD11" s="412" t="s">
        <v>93</v>
      </c>
      <c r="AE11" s="418" t="str">
        <f>IF(ISBLANK(fixtures!$K64),"",fixtures!$K64)</f>
        <v/>
      </c>
      <c r="AF11" s="412" t="str">
        <f>IF(ISBLANK(fixtures!$L64),"",":")</f>
        <v/>
      </c>
      <c r="AG11" s="419" t="str">
        <f>IF(ISBLANK(fixtures!$L64),"",fixtures!$L64)</f>
        <v/>
      </c>
      <c r="AH11" s="412" t="str">
        <f>IF(ISBLANK(fixtures!$L64),"",IF(AE11&gt;AG11,"W",IF(AE11=AG11,"D","L")))</f>
        <v/>
      </c>
      <c r="AI11" s="412"/>
      <c r="AJ11" s="412"/>
      <c r="AK11" s="427">
        <v>4</v>
      </c>
      <c r="AL11" s="413" t="s">
        <v>218</v>
      </c>
      <c r="AM11" s="429">
        <f ca="1">IFERROR(INDIRECT("fixtures!" &amp; Dashboard!J1 &amp;65) - Dashboard!K1/24,"TBC")</f>
        <v>45934.625</v>
      </c>
      <c r="AN11" s="413"/>
      <c r="AO11" s="413" t="s">
        <v>10</v>
      </c>
      <c r="AP11" s="413" t="s">
        <v>93</v>
      </c>
      <c r="AQ11" s="427" t="str">
        <f>IF(ISBLANK(fixtures!$K65),"",fixtures!$K65)</f>
        <v/>
      </c>
      <c r="AR11" s="413" t="str">
        <f>IF(ISBLANK(fixtures!$L65),"",":")</f>
        <v/>
      </c>
      <c r="AS11" s="428" t="str">
        <f>IF(ISBLANK(fixtures!$L65),"",fixtures!$L65)</f>
        <v/>
      </c>
      <c r="AT11" s="413" t="str">
        <f>IF(ISBLANK(fixtures!$L65),"",IF(AQ11&gt;AS11,"W",IF(AQ11=AS11,"D","L")))</f>
        <v/>
      </c>
      <c r="AU11" s="413"/>
      <c r="AV11" s="413"/>
      <c r="AW11" s="71">
        <v>4</v>
      </c>
      <c r="AX11" s="9" t="s">
        <v>218</v>
      </c>
      <c r="AY11" s="219">
        <f ca="1">IFERROR(INDIRECT("fixtures!" &amp; Dashboard!J1 &amp;71) - Dashboard!K1/24,"TBC")</f>
        <v>45934.625</v>
      </c>
      <c r="AZ11" s="9"/>
      <c r="BA11" s="9" t="s">
        <v>15</v>
      </c>
      <c r="BB11" s="9" t="s">
        <v>92</v>
      </c>
      <c r="BC11" s="71" t="str">
        <f>IF(ISBLANK(fixtures!$L71),"",fixtures!$L71)</f>
        <v/>
      </c>
      <c r="BD11" s="9" t="str">
        <f>IF(ISBLANK(fixtures!$L71),"",":")</f>
        <v/>
      </c>
      <c r="BE11" s="73" t="str">
        <f>IF(ISBLANK(fixtures!$K71),"",fixtures!$K71)</f>
        <v/>
      </c>
      <c r="BF11" s="9" t="str">
        <f>IF(ISBLANK(fixtures!$L71),"",IF(BC11&gt;BE11,"W",IF(BC11=BE11,"D","L")))</f>
        <v/>
      </c>
      <c r="BG11" s="9"/>
      <c r="BH11" s="9"/>
      <c r="BI11" s="436">
        <v>4</v>
      </c>
      <c r="BJ11" s="414" t="s">
        <v>218</v>
      </c>
      <c r="BK11" s="438">
        <f ca="1">IFERROR(INDIRECT("fixtures!" &amp; Dashboard!J1 &amp;63) - Dashboard!K1/24,"TBC")</f>
        <v>45934.625</v>
      </c>
      <c r="BL11" s="414"/>
      <c r="BM11" s="414" t="s">
        <v>2</v>
      </c>
      <c r="BN11" s="414" t="s">
        <v>92</v>
      </c>
      <c r="BO11" s="436" t="str">
        <f>IF(ISBLANK(fixtures!$L63),"",fixtures!$L63)</f>
        <v/>
      </c>
      <c r="BP11" s="414" t="str">
        <f>IF(ISBLANK(fixtures!$L63),"",":")</f>
        <v/>
      </c>
      <c r="BQ11" s="437" t="str">
        <f>IF(ISBLANK(fixtures!$K63),"",fixtures!$K63)</f>
        <v/>
      </c>
      <c r="BR11" s="414" t="str">
        <f>IF(ISBLANK(fixtures!$L63),"",IF(BO11&gt;BQ11,"W",IF(BO11=BQ11,"D","L")))</f>
        <v/>
      </c>
      <c r="BS11" s="414"/>
      <c r="BT11" s="414"/>
      <c r="BU11" s="146">
        <v>4</v>
      </c>
      <c r="BV11" s="13" t="s">
        <v>218</v>
      </c>
      <c r="BW11" s="225">
        <f ca="1">IFERROR(INDIRECT("fixtures!" &amp; Dashboard!J1 &amp;66) - Dashboard!K1/24,"TBC")</f>
        <v>45934.625</v>
      </c>
      <c r="BX11" s="13"/>
      <c r="BY11" s="13" t="s">
        <v>9</v>
      </c>
      <c r="BZ11" s="13" t="s">
        <v>93</v>
      </c>
      <c r="CA11" s="146" t="str">
        <f>IF(ISBLANK(fixtures!$K66),"",fixtures!$K66)</f>
        <v/>
      </c>
      <c r="CB11" s="13" t="str">
        <f>IF(ISBLANK(fixtures!$L66),"",":")</f>
        <v/>
      </c>
      <c r="CC11" s="148" t="str">
        <f>IF(ISBLANK(fixtures!$L66),"",fixtures!$L66)</f>
        <v/>
      </c>
      <c r="CD11" s="13" t="str">
        <f>IF(ISBLANK(fixtures!$L66),"",IF(CA11&gt;CC11,"W",IF(CA11=CC11,"D","L")))</f>
        <v/>
      </c>
      <c r="CE11" s="13"/>
      <c r="CF11" s="13"/>
      <c r="CG11" s="394">
        <v>4</v>
      </c>
      <c r="CH11" s="14" t="s">
        <v>218</v>
      </c>
      <c r="CI11" s="396">
        <f ca="1">IFERROR(INDIRECT("fixtures!" &amp; Dashboard!J1 &amp;67) - Dashboard!K1/24,"TBC")</f>
        <v>45934.625</v>
      </c>
      <c r="CJ11" s="14"/>
      <c r="CK11" s="14" t="s">
        <v>8</v>
      </c>
      <c r="CL11" s="14" t="s">
        <v>92</v>
      </c>
      <c r="CM11" s="394" t="str">
        <f>IF(ISBLANK(fixtures!$L67),"",fixtures!$L67)</f>
        <v/>
      </c>
      <c r="CN11" s="14" t="str">
        <f>IF(ISBLANK(fixtures!$L67),"",":")</f>
        <v/>
      </c>
      <c r="CO11" s="395" t="str">
        <f>IF(ISBLANK(fixtures!$K67),"",fixtures!$K67)</f>
        <v/>
      </c>
      <c r="CP11" s="14" t="str">
        <f>IF(ISBLANK(fixtures!$L67),"",IF(CM11&gt;CO11,"W",IF(CM11=CO11,"D","L")))</f>
        <v/>
      </c>
      <c r="CQ11" s="14"/>
      <c r="CR11" s="14"/>
      <c r="CS11" s="231">
        <v>4</v>
      </c>
      <c r="CT11" s="17" t="s">
        <v>218</v>
      </c>
      <c r="CU11" s="233">
        <f ca="1">IFERROR(INDIRECT("fixtures!" &amp; Dashboard!J1 &amp;67) - Dashboard!K1/24,"TBC")</f>
        <v>45934.625</v>
      </c>
      <c r="CV11" s="17"/>
      <c r="CW11" s="17" t="s">
        <v>7</v>
      </c>
      <c r="CX11" s="17" t="s">
        <v>93</v>
      </c>
      <c r="CY11" s="231" t="str">
        <f>IF(ISBLANK(fixtures!$K67),"",fixtures!$K67)</f>
        <v/>
      </c>
      <c r="CZ11" s="17" t="str">
        <f>IF(ISBLANK(fixtures!$L67),"",":")</f>
        <v/>
      </c>
      <c r="DA11" s="232" t="str">
        <f>IF(ISBLANK(fixtures!$L67),"",fixtures!$L67)</f>
        <v/>
      </c>
      <c r="DB11" s="17" t="str">
        <f>IF(ISBLANK(fixtures!$L67),"",IF(CY11&gt;DA11,"W",IF(CY11=DA11,"D","L")))</f>
        <v/>
      </c>
      <c r="DC11" s="17"/>
      <c r="DD11" s="17"/>
      <c r="DE11" s="444">
        <v>4</v>
      </c>
      <c r="DF11" s="143" t="s">
        <v>218</v>
      </c>
      <c r="DG11" s="446">
        <f ca="1">IFERROR(INDIRECT("fixtures!" &amp; Dashboard!J1 &amp;64) - Dashboard!K1/24,"TBC")</f>
        <v>45934.625</v>
      </c>
      <c r="DH11" s="143"/>
      <c r="DI11" s="143" t="s">
        <v>3</v>
      </c>
      <c r="DJ11" s="143" t="s">
        <v>92</v>
      </c>
      <c r="DK11" s="444" t="str">
        <f>IF(ISBLANK(fixtures!$L64),"",fixtures!$L64)</f>
        <v/>
      </c>
      <c r="DL11" s="143" t="str">
        <f>IF(ISBLANK(fixtures!$L64),"",":")</f>
        <v/>
      </c>
      <c r="DM11" s="445" t="str">
        <f>IF(ISBLANK(fixtures!$K64),"",fixtures!$K64)</f>
        <v/>
      </c>
      <c r="DN11" s="143" t="str">
        <f>IF(ISBLANK(fixtures!$L64),"",IF(DK11&gt;DM11,"W",IF(DK11=DM11,"D","L")))</f>
        <v/>
      </c>
      <c r="DO11" s="143"/>
      <c r="DP11" s="143"/>
      <c r="DQ11" s="382">
        <v>4</v>
      </c>
      <c r="DR11" s="380" t="s">
        <v>218</v>
      </c>
      <c r="DS11" s="384">
        <f ca="1">IFERROR(INDIRECT("fixtures!" &amp; Dashboard!J1 &amp;68) - Dashboard!K1/24,"TBC")</f>
        <v>45934.625</v>
      </c>
      <c r="DT11" s="380"/>
      <c r="DU11" s="380" t="s">
        <v>13</v>
      </c>
      <c r="DV11" s="380" t="s">
        <v>93</v>
      </c>
      <c r="DW11" s="382" t="str">
        <f>IF(ISBLANK(fixtures!$K68),"",fixtures!$K68)</f>
        <v/>
      </c>
      <c r="DX11" s="380" t="str">
        <f>IF(ISBLANK(fixtures!$L68),"",":")</f>
        <v/>
      </c>
      <c r="DY11" s="383" t="str">
        <f>IF(ISBLANK(fixtures!$L68),"",fixtures!$L68)</f>
        <v/>
      </c>
      <c r="DZ11" s="380" t="str">
        <f>IF(ISBLANK(fixtures!$L68),"",IF(DW11&gt;DY11,"W",IF(DW11=DY11,"D","L")))</f>
        <v/>
      </c>
      <c r="EA11" s="380"/>
      <c r="EB11" s="380"/>
      <c r="EC11" s="207">
        <v>4</v>
      </c>
      <c r="ED11" s="19" t="s">
        <v>218</v>
      </c>
      <c r="EE11" s="239">
        <f ca="1">IFERROR(INDIRECT("fixtures!" &amp; Dashboard!J1 &amp;66) - Dashboard!K1/24,"TBC")</f>
        <v>45934.625</v>
      </c>
      <c r="EF11" s="19"/>
      <c r="EG11" s="19" t="s">
        <v>6</v>
      </c>
      <c r="EH11" s="19" t="s">
        <v>92</v>
      </c>
      <c r="EI11" s="207" t="str">
        <f>IF(ISBLANK(fixtures!$L66),"",fixtures!$L66)</f>
        <v/>
      </c>
      <c r="EJ11" s="19" t="str">
        <f>IF(ISBLANK(fixtures!$L66),"",":")</f>
        <v/>
      </c>
      <c r="EK11" s="209" t="str">
        <f>IF(ISBLANK(fixtures!$K66),"",fixtures!$K66)</f>
        <v/>
      </c>
      <c r="EL11" s="19" t="str">
        <f>IF(ISBLANK(fixtures!$L66),"",IF(EI11&gt;EK11,"W",IF(EI11=EK11,"D","L")))</f>
        <v/>
      </c>
      <c r="EM11" s="19"/>
      <c r="EN11" s="19"/>
      <c r="EO11" s="80">
        <v>4</v>
      </c>
      <c r="EP11" s="21" t="s">
        <v>218</v>
      </c>
      <c r="EQ11" s="245">
        <f ca="1">IFERROR(INDIRECT("fixtures!" &amp; Dashboard!J1 &amp;65) - Dashboard!K1/24,"TBC")</f>
        <v>45934.625</v>
      </c>
      <c r="ER11" s="21"/>
      <c r="ES11" s="21" t="s">
        <v>107</v>
      </c>
      <c r="ET11" s="21" t="s">
        <v>92</v>
      </c>
      <c r="EU11" s="80" t="str">
        <f>IF(ISBLANK(fixtures!$L65),"",fixtures!$L65)</f>
        <v/>
      </c>
      <c r="EV11" s="21" t="str">
        <f>IF(ISBLANK(fixtures!$L65),"",":")</f>
        <v/>
      </c>
      <c r="EW11" s="82" t="str">
        <f>IF(ISBLANK(fixtures!$K65),"",fixtures!$K65)</f>
        <v/>
      </c>
      <c r="EX11" s="21" t="str">
        <f>IF(ISBLANK(fixtures!$L65),"",IF(EU11&gt;EW11,"W",IF(EU11=EW11,"D","L")))</f>
        <v/>
      </c>
      <c r="EY11" s="21"/>
      <c r="EZ11" s="21"/>
      <c r="FA11" s="251">
        <v>4</v>
      </c>
      <c r="FB11" s="23" t="s">
        <v>218</v>
      </c>
      <c r="FC11" s="253">
        <f ca="1">IFERROR(INDIRECT("fixtures!" &amp; Dashboard!J1 &amp;69) - Dashboard!K1/24,"TBC")</f>
        <v>45934.625</v>
      </c>
      <c r="FD11" s="23"/>
      <c r="FE11" s="23" t="s">
        <v>443</v>
      </c>
      <c r="FF11" s="23" t="s">
        <v>93</v>
      </c>
      <c r="FG11" s="251" t="str">
        <f>IF(ISBLANK(fixtures!$K69),"",fixtures!$K69)</f>
        <v/>
      </c>
      <c r="FH11" s="23" t="str">
        <f>IF(ISBLANK(fixtures!$L69),"",":")</f>
        <v/>
      </c>
      <c r="FI11" s="252" t="str">
        <f>IF(ISBLANK(fixtures!$L69),"",fixtures!$L69)</f>
        <v/>
      </c>
      <c r="FJ11" s="23" t="str">
        <f>IF(ISBLANK(fixtures!$L69),"",IF(FG11&gt;FI11,"W",IF(FG11=FI11,"D","L")))</f>
        <v/>
      </c>
      <c r="FK11" s="23"/>
      <c r="FL11" s="23"/>
      <c r="FM11" s="85">
        <v>4</v>
      </c>
      <c r="FN11" s="25" t="s">
        <v>218</v>
      </c>
      <c r="FO11" s="259">
        <f ca="1">IFERROR(INDIRECT("fixtures!" &amp; Dashboard!J1 &amp;70) - Dashboard!K1/24,"TBC")</f>
        <v>45934.625</v>
      </c>
      <c r="FP11" s="25"/>
      <c r="FQ11" s="25" t="s">
        <v>188</v>
      </c>
      <c r="FR11" s="25" t="s">
        <v>93</v>
      </c>
      <c r="FS11" s="85" t="str">
        <f>IF(ISBLANK(fixtures!$K70),"",fixtures!$K70)</f>
        <v/>
      </c>
      <c r="FT11" s="25" t="str">
        <f>IF(ISBLANK(fixtures!$L70),"",":")</f>
        <v/>
      </c>
      <c r="FU11" s="87" t="str">
        <f>IF(ISBLANK(fixtures!$L70),"",fixtures!$L70)</f>
        <v/>
      </c>
      <c r="FV11" s="25" t="str">
        <f>IF(ISBLANK(fixtures!$L70),"",IF(FS11&gt;FU11,"W",IF(FS11=FU11,"D","L")))</f>
        <v/>
      </c>
      <c r="FW11" s="25"/>
      <c r="FX11" s="25"/>
      <c r="FY11" s="402">
        <v>4</v>
      </c>
      <c r="FZ11" s="390" t="s">
        <v>218</v>
      </c>
      <c r="GA11" s="404">
        <f ca="1">IFERROR(INDIRECT("fixtures!" &amp; Dashboard!J1 &amp;70) - Dashboard!K1/24,"TBC")</f>
        <v>45934.625</v>
      </c>
      <c r="GB11" s="390"/>
      <c r="GC11" s="390" t="s">
        <v>12</v>
      </c>
      <c r="GD11" s="390" t="s">
        <v>92</v>
      </c>
      <c r="GE11" s="402" t="str">
        <f>IF(ISBLANK(fixtures!$L70),"",fixtures!$L70)</f>
        <v/>
      </c>
      <c r="GF11" s="390" t="str">
        <f>IF(ISBLANK(fixtures!$L70),"",":")</f>
        <v/>
      </c>
      <c r="GG11" s="403" t="str">
        <f>IF(ISBLANK(fixtures!$K70),"",fixtures!$K70)</f>
        <v/>
      </c>
      <c r="GH11" s="390" t="str">
        <f>IF(ISBLANK(fixtures!$L70),"",IF(GE11&gt;GG11,"W",IF(GE11=GG11,"D","L")))</f>
        <v/>
      </c>
      <c r="GI11" s="390"/>
      <c r="GJ11" s="390"/>
      <c r="GK11" s="89">
        <v>4</v>
      </c>
      <c r="GL11" s="27" t="s">
        <v>218</v>
      </c>
      <c r="GM11" s="266">
        <f ca="1">IFERROR(INDIRECT("fixtures!" &amp; Dashboard!J1 &amp;68) - Dashboard!K1/24,"TBC")</f>
        <v>45934.625</v>
      </c>
      <c r="GN11" s="27"/>
      <c r="GO11" s="27" t="s">
        <v>444</v>
      </c>
      <c r="GP11" s="27" t="s">
        <v>92</v>
      </c>
      <c r="GQ11" s="89" t="str">
        <f>IF(ISBLANK(fixtures!$L68),"",fixtures!$L68)</f>
        <v/>
      </c>
      <c r="GR11" s="27" t="str">
        <f>IF(ISBLANK(fixtures!$L68),"",":")</f>
        <v/>
      </c>
      <c r="GS11" s="90" t="str">
        <f>IF(ISBLANK(fixtures!$K68),"",fixtures!$K68)</f>
        <v/>
      </c>
      <c r="GT11" s="27" t="str">
        <f>IF(ISBLANK(fixtures!$L68),"",IF(GQ11&gt;GS11,"W",IF(GQ11=GS11,"D","L")))</f>
        <v/>
      </c>
      <c r="GU11" s="27"/>
      <c r="GV11" s="27"/>
      <c r="GW11" s="382">
        <v>4</v>
      </c>
      <c r="GX11" s="380" t="s">
        <v>218</v>
      </c>
      <c r="GY11" s="384">
        <f ca="1">IFERROR(INDIRECT("fixtures!" &amp; Dashboard!J1 &amp;69) - Dashboard!K1/24,"TBC")</f>
        <v>45934.625</v>
      </c>
      <c r="GZ11" s="380"/>
      <c r="HA11" s="380" t="s">
        <v>11</v>
      </c>
      <c r="HB11" s="380" t="s">
        <v>92</v>
      </c>
      <c r="HC11" s="382" t="str">
        <f>IF(ISBLANK(fixtures!$L69),"",fixtures!$L69)</f>
        <v/>
      </c>
      <c r="HD11" s="380" t="str">
        <f>IF(ISBLANK(fixtures!$L69),"",":")</f>
        <v/>
      </c>
      <c r="HE11" s="383" t="str">
        <f>IF(ISBLANK(fixtures!$K69),"",fixtures!$K69)</f>
        <v/>
      </c>
      <c r="HF11" s="380" t="str">
        <f>IF(ISBLANK(fixtures!$L69),"",IF(HC11&gt;HE11,"W",IF(HC11=HE11,"D","L")))</f>
        <v/>
      </c>
      <c r="HG11" s="380"/>
      <c r="HH11" s="380"/>
      <c r="HI11" s="92">
        <v>4</v>
      </c>
      <c r="HJ11" s="29" t="s">
        <v>218</v>
      </c>
      <c r="HK11" s="272">
        <f ca="1">IFERROR(INDIRECT("fixtures!" &amp; Dashboard!J1 &amp;62) - Dashboard!K1/24,"TBC")</f>
        <v>45934.625</v>
      </c>
      <c r="HL11" s="29"/>
      <c r="HM11" s="29" t="s">
        <v>1</v>
      </c>
      <c r="HN11" s="29" t="s">
        <v>92</v>
      </c>
      <c r="HO11" s="92" t="str">
        <f>IF(ISBLANK(fixtures!$L62),"",fixtures!$L62)</f>
        <v/>
      </c>
      <c r="HP11" s="29" t="str">
        <f>IF(ISBLANK(fixtures!$L62),"",":")</f>
        <v/>
      </c>
      <c r="HQ11" s="94" t="str">
        <f>IF(ISBLANK(fixtures!$K62),"",fixtures!$K62)</f>
        <v/>
      </c>
      <c r="HR11" s="29" t="str">
        <f>IF(ISBLANK(fixtures!$L62),"",IF(HO11&gt;HQ11,"W",IF(HO11=HQ11,"D","L")))</f>
        <v/>
      </c>
      <c r="HS11" s="29"/>
      <c r="HT11" s="29"/>
      <c r="HU11" s="97">
        <v>4</v>
      </c>
      <c r="HV11" s="31" t="s">
        <v>218</v>
      </c>
      <c r="HW11" s="278">
        <f ca="1">IFERROR(INDIRECT("fixtures!" &amp; Dashboard!J1 &amp;71) - Dashboard!K1/24,"TBC")</f>
        <v>45934.625</v>
      </c>
      <c r="HX11" s="31"/>
      <c r="HY11" s="31" t="s">
        <v>4</v>
      </c>
      <c r="HZ11" s="31" t="s">
        <v>93</v>
      </c>
      <c r="IA11" s="97" t="str">
        <f>IF(ISBLANK(fixtures!$K71),"",fixtures!$K71)</f>
        <v/>
      </c>
      <c r="IB11" s="31" t="str">
        <f>IF(ISBLANK(fixtures!$L71),"",":")</f>
        <v/>
      </c>
      <c r="IC11" s="99" t="str">
        <f>IF(ISBLANK(fixtures!$L71),"",fixtures!$L71)</f>
        <v/>
      </c>
      <c r="ID11" s="31" t="str">
        <f>IF(ISBLANK(fixtures!$L71),"",IF(IA11&gt;IC11,"W",IF(IA11=IC11,"D","L")))</f>
        <v/>
      </c>
      <c r="IE11" s="31"/>
      <c r="IF11" s="31"/>
      <c r="II11" s="112"/>
    </row>
    <row r="12" spans="1:243">
      <c r="A12" s="66">
        <v>18</v>
      </c>
      <c r="B12" s="6" t="s">
        <v>218</v>
      </c>
      <c r="C12" s="214">
        <f ca="1">IFERROR(INDIRECT("fixtures!" &amp; Dashboard!J1 &amp;75) - Dashboard!K1/24,"TBC")</f>
        <v>45948.625</v>
      </c>
      <c r="D12" s="6"/>
      <c r="E12" s="6" t="s">
        <v>108</v>
      </c>
      <c r="F12" s="6" t="s">
        <v>92</v>
      </c>
      <c r="G12" s="66" t="str">
        <f>IF(ISBLANK(fixtures!$L75),"",fixtures!$L75)</f>
        <v/>
      </c>
      <c r="H12" s="6" t="str">
        <f>IF(ISBLANK(fixtures!$L75),"",":")</f>
        <v/>
      </c>
      <c r="I12" s="68" t="str">
        <f>IF(ISBLANK(fixtures!$K75),"",fixtures!$K75)</f>
        <v/>
      </c>
      <c r="J12" s="6" t="str">
        <f>IF(ISBLANK(fixtures!$L75),"",IF(G12&gt;I12,"W",IF(G12=I12,"D","L")))</f>
        <v/>
      </c>
      <c r="K12" s="6"/>
      <c r="L12" s="6"/>
      <c r="M12" s="382">
        <v>18</v>
      </c>
      <c r="N12" s="380" t="s">
        <v>218</v>
      </c>
      <c r="O12" s="384">
        <f ca="1">IFERROR(INDIRECT("fixtures!" &amp; Dashboard!J1 &amp;79) - Dashboard!K1/24,"TBC")</f>
        <v>45948.625</v>
      </c>
      <c r="P12" s="380"/>
      <c r="Q12" s="380" t="s">
        <v>13</v>
      </c>
      <c r="R12" s="380" t="s">
        <v>92</v>
      </c>
      <c r="S12" s="382" t="str">
        <f>IF(ISBLANK(fixtures!$L79),"",fixtures!$L79)</f>
        <v/>
      </c>
      <c r="T12" s="380" t="str">
        <f>IF(ISBLANK(fixtures!$L79),"",":")</f>
        <v/>
      </c>
      <c r="U12" s="383" t="str">
        <f>IF(ISBLANK(fixtures!$K79),"",fixtures!$K79)</f>
        <v/>
      </c>
      <c r="V12" s="380" t="str">
        <f>IF(ISBLANK(fixtures!$L79),"",IF(S12&gt;U12,"W",IF(S12=U12,"D","L")))</f>
        <v/>
      </c>
      <c r="W12" s="380"/>
      <c r="X12" s="380"/>
      <c r="Y12" s="418">
        <v>18</v>
      </c>
      <c r="Z12" s="412" t="s">
        <v>218</v>
      </c>
      <c r="AA12" s="420">
        <f ca="1">IFERROR(INDIRECT("fixtures!" &amp; Dashboard!J1 &amp;74) - Dashboard!K1/24,"TBC")</f>
        <v>45948.625</v>
      </c>
      <c r="AB12" s="412"/>
      <c r="AC12" s="412" t="s">
        <v>7</v>
      </c>
      <c r="AD12" s="412" t="s">
        <v>92</v>
      </c>
      <c r="AE12" s="418" t="str">
        <f>IF(ISBLANK(fixtures!$L74),"",fixtures!$L74)</f>
        <v/>
      </c>
      <c r="AF12" s="412" t="str">
        <f>IF(ISBLANK(fixtures!$L74),"",":")</f>
        <v/>
      </c>
      <c r="AG12" s="419" t="str">
        <f>IF(ISBLANK(fixtures!$K74),"",fixtures!$K74)</f>
        <v/>
      </c>
      <c r="AH12" s="412" t="str">
        <f>IF(ISBLANK(fixtures!$L74),"",IF(AE12&gt;AG12,"W",IF(AE12=AG12,"D","L")))</f>
        <v/>
      </c>
      <c r="AI12" s="412"/>
      <c r="AJ12" s="412"/>
      <c r="AK12" s="427">
        <v>18</v>
      </c>
      <c r="AL12" s="413" t="s">
        <v>218</v>
      </c>
      <c r="AM12" s="429">
        <f ca="1">IFERROR(INDIRECT("fixtures!" &amp; Dashboard!J1 &amp;81) - Dashboard!K1/24,"TBC")</f>
        <v>45948.625</v>
      </c>
      <c r="AN12" s="413"/>
      <c r="AO12" s="413" t="s">
        <v>14</v>
      </c>
      <c r="AP12" s="413" t="s">
        <v>92</v>
      </c>
      <c r="AQ12" s="427" t="str">
        <f>IF(ISBLANK(fixtures!$L81),"",fixtures!$L81)</f>
        <v/>
      </c>
      <c r="AR12" s="413" t="str">
        <f>IF(ISBLANK(fixtures!$L81),"",":")</f>
        <v/>
      </c>
      <c r="AS12" s="428" t="str">
        <f>IF(ISBLANK(fixtures!$K81),"",fixtures!$K81)</f>
        <v/>
      </c>
      <c r="AT12" s="413" t="str">
        <f>IF(ISBLANK(fixtures!$L81),"",IF(AQ12&gt;AS12,"W",IF(AQ12=AS12,"D","L")))</f>
        <v/>
      </c>
      <c r="AU12" s="413"/>
      <c r="AV12" s="413"/>
      <c r="AW12" s="71">
        <v>18</v>
      </c>
      <c r="AX12" s="9" t="s">
        <v>218</v>
      </c>
      <c r="AY12" s="219">
        <f ca="1">IFERROR(INDIRECT("fixtures!" &amp; Dashboard!J1 &amp;72) - Dashboard!K1/24,"TBC")</f>
        <v>45948.625</v>
      </c>
      <c r="AZ12" s="9"/>
      <c r="BA12" s="9" t="s">
        <v>12</v>
      </c>
      <c r="BB12" s="9" t="s">
        <v>93</v>
      </c>
      <c r="BC12" s="71" t="str">
        <f>IF(ISBLANK(fixtures!$K72),"",fixtures!$K72)</f>
        <v/>
      </c>
      <c r="BD12" s="9" t="str">
        <f>IF(ISBLANK(fixtures!$L72),"",":")</f>
        <v/>
      </c>
      <c r="BE12" s="73" t="str">
        <f>IF(ISBLANK(fixtures!$L72),"",fixtures!$L72)</f>
        <v/>
      </c>
      <c r="BF12" s="9" t="str">
        <f>IF(ISBLANK(fixtures!$L72),"",IF(BC12&gt;BE12,"W",IF(BC12=BE12,"D","L")))</f>
        <v/>
      </c>
      <c r="BG12" s="9"/>
      <c r="BH12" s="9"/>
      <c r="BI12" s="436">
        <v>18</v>
      </c>
      <c r="BJ12" s="414" t="s">
        <v>218</v>
      </c>
      <c r="BK12" s="438">
        <f ca="1">IFERROR(INDIRECT("fixtures!" &amp; Dashboard!J1 &amp;73) - Dashboard!K1/24,"TBC")</f>
        <v>45948.625</v>
      </c>
      <c r="BL12" s="414"/>
      <c r="BM12" s="414" t="s">
        <v>444</v>
      </c>
      <c r="BN12" s="414" t="s">
        <v>93</v>
      </c>
      <c r="BO12" s="436" t="str">
        <f>IF(ISBLANK(fixtures!$K73),"",fixtures!$K73)</f>
        <v/>
      </c>
      <c r="BP12" s="414" t="str">
        <f>IF(ISBLANK(fixtures!$L73),"",":")</f>
        <v/>
      </c>
      <c r="BQ12" s="437" t="str">
        <f>IF(ISBLANK(fixtures!$L73),"",fixtures!$L73)</f>
        <v/>
      </c>
      <c r="BR12" s="414" t="str">
        <f>IF(ISBLANK(fixtures!$L73),"",IF(BO12&gt;BQ12,"W",IF(BO12=BQ12,"D","L")))</f>
        <v/>
      </c>
      <c r="BS12" s="414"/>
      <c r="BT12" s="414"/>
      <c r="BU12" s="146">
        <v>18</v>
      </c>
      <c r="BV12" s="13" t="s">
        <v>218</v>
      </c>
      <c r="BW12" s="225">
        <f ca="1">IFERROR(INDIRECT("fixtures!" &amp; Dashboard!J1 &amp;78) - Dashboard!K1/24,"TBC")</f>
        <v>45948.625</v>
      </c>
      <c r="BX12" s="13"/>
      <c r="BY12" s="13" t="s">
        <v>188</v>
      </c>
      <c r="BZ12" s="13" t="s">
        <v>92</v>
      </c>
      <c r="CA12" s="146" t="str">
        <f>IF(ISBLANK(fixtures!$L78),"",fixtures!$L78)</f>
        <v/>
      </c>
      <c r="CB12" s="13" t="str">
        <f>IF(ISBLANK(fixtures!$L78),"",":")</f>
        <v/>
      </c>
      <c r="CC12" s="148" t="str">
        <f>IF(ISBLANK(fixtures!$K78),"",fixtures!$K78)</f>
        <v/>
      </c>
      <c r="CD12" s="13" t="str">
        <f>IF(ISBLANK(fixtures!$L78),"",IF(CA12&gt;CC12,"W",IF(CA12=CC12,"D","L")))</f>
        <v/>
      </c>
      <c r="CE12" s="13"/>
      <c r="CF12" s="13"/>
      <c r="CG12" s="394">
        <v>18</v>
      </c>
      <c r="CH12" s="14" t="s">
        <v>218</v>
      </c>
      <c r="CI12" s="396">
        <f ca="1">IFERROR(INDIRECT("fixtures!" &amp; Dashboard!J1 &amp;74) - Dashboard!K1/24,"TBC")</f>
        <v>45948.625</v>
      </c>
      <c r="CJ12" s="14"/>
      <c r="CK12" s="14" t="s">
        <v>3</v>
      </c>
      <c r="CL12" s="14" t="s">
        <v>93</v>
      </c>
      <c r="CM12" s="394" t="str">
        <f>IF(ISBLANK(fixtures!$K74),"",fixtures!$K74)</f>
        <v/>
      </c>
      <c r="CN12" s="14" t="str">
        <f>IF(ISBLANK(fixtures!$L74),"",":")</f>
        <v/>
      </c>
      <c r="CO12" s="395" t="str">
        <f>IF(ISBLANK(fixtures!$L74),"",fixtures!$L74)</f>
        <v/>
      </c>
      <c r="CP12" s="14" t="str">
        <f>IF(ISBLANK(fixtures!$L74),"",IF(CM12&gt;CO12,"W",IF(CM12=CO12,"D","L")))</f>
        <v/>
      </c>
      <c r="CQ12" s="14"/>
      <c r="CR12" s="14"/>
      <c r="CS12" s="231">
        <v>18</v>
      </c>
      <c r="CT12" s="17" t="s">
        <v>218</v>
      </c>
      <c r="CU12" s="233">
        <f ca="1">IFERROR(INDIRECT("fixtures!" &amp; Dashboard!J1 &amp;77) - Dashboard!K1/24,"TBC")</f>
        <v>45948.625</v>
      </c>
      <c r="CV12" s="17"/>
      <c r="CW12" s="17" t="s">
        <v>10</v>
      </c>
      <c r="CX12" s="17" t="s">
        <v>92</v>
      </c>
      <c r="CY12" s="231" t="str">
        <f>IF(ISBLANK(fixtures!$L77),"",fixtures!$L77)</f>
        <v/>
      </c>
      <c r="CZ12" s="17" t="str">
        <f>IF(ISBLANK(fixtures!$L77),"",":")</f>
        <v/>
      </c>
      <c r="DA12" s="232" t="str">
        <f>IF(ISBLANK(fixtures!$K77),"",fixtures!$K77)</f>
        <v/>
      </c>
      <c r="DB12" s="17" t="str">
        <f>IF(ISBLANK(fixtures!$L77),"",IF(CY12&gt;DA12,"W",IF(CY12=DA12,"D","L")))</f>
        <v/>
      </c>
      <c r="DC12" s="17"/>
      <c r="DD12" s="17"/>
      <c r="DE12" s="444">
        <v>18</v>
      </c>
      <c r="DF12" s="143" t="s">
        <v>218</v>
      </c>
      <c r="DG12" s="446">
        <f ca="1">IFERROR(INDIRECT("fixtures!" &amp; Dashboard!J1 &amp;75) - Dashboard!K1/24,"TBC")</f>
        <v>45948.625</v>
      </c>
      <c r="DH12" s="143"/>
      <c r="DI12" s="143" t="s">
        <v>1</v>
      </c>
      <c r="DJ12" s="143" t="s">
        <v>93</v>
      </c>
      <c r="DK12" s="444" t="str">
        <f>IF(ISBLANK(fixtures!$K75),"",fixtures!$K75)</f>
        <v/>
      </c>
      <c r="DL12" s="143" t="str">
        <f>IF(ISBLANK(fixtures!$L75),"",":")</f>
        <v/>
      </c>
      <c r="DM12" s="445" t="str">
        <f>IF(ISBLANK(fixtures!$L75),"",fixtures!$L75)</f>
        <v/>
      </c>
      <c r="DN12" s="143" t="str">
        <f>IF(ISBLANK(fixtures!$L75),"",IF(DK12&gt;DM12,"W",IF(DK12=DM12,"D","L")))</f>
        <v/>
      </c>
      <c r="DO12" s="143"/>
      <c r="DP12" s="143"/>
      <c r="DQ12" s="382">
        <v>18</v>
      </c>
      <c r="DR12" s="380" t="s">
        <v>218</v>
      </c>
      <c r="DS12" s="384">
        <f ca="1">IFERROR(INDIRECT("fixtures!" &amp; Dashboard!J1 &amp;73) - Dashboard!K1/24,"TBC")</f>
        <v>45948.625</v>
      </c>
      <c r="DT12" s="380"/>
      <c r="DU12" s="380" t="s">
        <v>5</v>
      </c>
      <c r="DV12" s="380" t="s">
        <v>92</v>
      </c>
      <c r="DW12" s="382" t="str">
        <f>IF(ISBLANK(fixtures!$L73),"",fixtures!$L73)</f>
        <v/>
      </c>
      <c r="DX12" s="380" t="str">
        <f>IF(ISBLANK(fixtures!$L73),"",":")</f>
        <v/>
      </c>
      <c r="DY12" s="383" t="str">
        <f>IF(ISBLANK(fixtures!$K73),"",fixtures!$K73)</f>
        <v/>
      </c>
      <c r="DZ12" s="380" t="str">
        <f>IF(ISBLANK(fixtures!$L73),"",IF(DW12&gt;DY12,"W",IF(DW12=DY12,"D","L")))</f>
        <v/>
      </c>
      <c r="EA12" s="380"/>
      <c r="EB12" s="380"/>
      <c r="EC12" s="207">
        <v>18</v>
      </c>
      <c r="ED12" s="19" t="s">
        <v>218</v>
      </c>
      <c r="EE12" s="239">
        <f ca="1">IFERROR(INDIRECT("fixtures!" &amp; Dashboard!J1 &amp;76) - Dashboard!K1/24,"TBC")</f>
        <v>45948.625</v>
      </c>
      <c r="EF12" s="19"/>
      <c r="EG12" s="19" t="s">
        <v>11</v>
      </c>
      <c r="EH12" s="19" t="s">
        <v>93</v>
      </c>
      <c r="EI12" s="207" t="str">
        <f>IF(ISBLANK(fixtures!$K76),"",fixtures!$K76)</f>
        <v/>
      </c>
      <c r="EJ12" s="19" t="str">
        <f>IF(ISBLANK(fixtures!$L76),"",":")</f>
        <v/>
      </c>
      <c r="EK12" s="209" t="str">
        <f>IF(ISBLANK(fixtures!$L76),"",fixtures!$L76)</f>
        <v/>
      </c>
      <c r="EL12" s="19" t="str">
        <f>IF(ISBLANK(fixtures!$L76),"",IF(EI12&gt;EK12,"W",IF(EI12=EK12,"D","L")))</f>
        <v/>
      </c>
      <c r="EM12" s="19"/>
      <c r="EN12" s="19"/>
      <c r="EO12" s="80">
        <v>18</v>
      </c>
      <c r="EP12" s="21" t="s">
        <v>218</v>
      </c>
      <c r="EQ12" s="245">
        <f ca="1">IFERROR(INDIRECT("fixtures!" &amp; Dashboard!J1 &amp;77) - Dashboard!K1/24,"TBC")</f>
        <v>45948.625</v>
      </c>
      <c r="ER12" s="21"/>
      <c r="ES12" s="21" t="s">
        <v>8</v>
      </c>
      <c r="ET12" s="21" t="s">
        <v>93</v>
      </c>
      <c r="EU12" s="80" t="str">
        <f>IF(ISBLANK(fixtures!$K77),"",fixtures!$K77)</f>
        <v/>
      </c>
      <c r="EV12" s="21" t="str">
        <f>IF(ISBLANK(fixtures!$L77),"",":")</f>
        <v/>
      </c>
      <c r="EW12" s="82" t="str">
        <f>IF(ISBLANK(fixtures!$L77),"",fixtures!$L77)</f>
        <v/>
      </c>
      <c r="EX12" s="21" t="str">
        <f>IF(ISBLANK(fixtures!$L77),"",IF(EU12&gt;EW12,"W",IF(EU12=EW12,"D","L")))</f>
        <v/>
      </c>
      <c r="EY12" s="21"/>
      <c r="EZ12" s="21"/>
      <c r="FA12" s="251">
        <v>18</v>
      </c>
      <c r="FB12" s="23" t="s">
        <v>218</v>
      </c>
      <c r="FC12" s="253">
        <f ca="1">IFERROR(INDIRECT("fixtures!" &amp; Dashboard!J1 &amp;76) - Dashboard!K1/24,"TBC")</f>
        <v>45948.625</v>
      </c>
      <c r="FD12" s="23"/>
      <c r="FE12" s="23" t="s">
        <v>9</v>
      </c>
      <c r="FF12" s="23" t="s">
        <v>92</v>
      </c>
      <c r="FG12" s="251" t="str">
        <f>IF(ISBLANK(fixtures!$L76),"",fixtures!$L76)</f>
        <v/>
      </c>
      <c r="FH12" s="23" t="str">
        <f>IF(ISBLANK(fixtures!$L76),"",":")</f>
        <v/>
      </c>
      <c r="FI12" s="252" t="str">
        <f>IF(ISBLANK(fixtures!$K76),"",fixtures!$K76)</f>
        <v/>
      </c>
      <c r="FJ12" s="23" t="str">
        <f>IF(ISBLANK(fixtures!$L76),"",IF(FG12&gt;FI12,"W",IF(FG12=FI12,"D","L")))</f>
        <v/>
      </c>
      <c r="FK12" s="23"/>
      <c r="FL12" s="23"/>
      <c r="FM12" s="85">
        <v>18</v>
      </c>
      <c r="FN12" s="25" t="s">
        <v>218</v>
      </c>
      <c r="FO12" s="259">
        <f ca="1">IFERROR(INDIRECT("fixtures!" &amp; Dashboard!J1 &amp;72) - Dashboard!K1/24,"TBC")</f>
        <v>45948.625</v>
      </c>
      <c r="FP12" s="25"/>
      <c r="FQ12" s="25" t="s">
        <v>4</v>
      </c>
      <c r="FR12" s="25" t="s">
        <v>92</v>
      </c>
      <c r="FS12" s="85" t="str">
        <f>IF(ISBLANK(fixtures!$L72),"",fixtures!$L72)</f>
        <v/>
      </c>
      <c r="FT12" s="25" t="str">
        <f>IF(ISBLANK(fixtures!$L72),"",":")</f>
        <v/>
      </c>
      <c r="FU12" s="87" t="str">
        <f>IF(ISBLANK(fixtures!$K72),"",fixtures!$K72)</f>
        <v/>
      </c>
      <c r="FV12" s="25" t="str">
        <f>IF(ISBLANK(fixtures!$L72),"",IF(FS12&gt;FU12,"W",IF(FS12=FU12,"D","L")))</f>
        <v/>
      </c>
      <c r="FW12" s="25"/>
      <c r="FX12" s="25"/>
      <c r="FY12" s="402">
        <v>18</v>
      </c>
      <c r="FZ12" s="390" t="s">
        <v>218</v>
      </c>
      <c r="GA12" s="404">
        <f ca="1">IFERROR(INDIRECT("fixtures!" &amp; Dashboard!J1 &amp;78) - Dashboard!K1/24,"TBC")</f>
        <v>45948.625</v>
      </c>
      <c r="GB12" s="390"/>
      <c r="GC12" s="390" t="s">
        <v>6</v>
      </c>
      <c r="GD12" s="390" t="s">
        <v>93</v>
      </c>
      <c r="GE12" s="402" t="str">
        <f>IF(ISBLANK(fixtures!$K78),"",fixtures!$K78)</f>
        <v/>
      </c>
      <c r="GF12" s="390" t="str">
        <f>IF(ISBLANK(fixtures!$L78),"",":")</f>
        <v/>
      </c>
      <c r="GG12" s="403" t="str">
        <f>IF(ISBLANK(fixtures!$L78),"",fixtures!$L78)</f>
        <v/>
      </c>
      <c r="GH12" s="390" t="str">
        <f>IF(ISBLANK(fixtures!$L78),"",IF(GE12&gt;GG12,"W",IF(GE12=GG12,"D","L")))</f>
        <v/>
      </c>
      <c r="GI12" s="390"/>
      <c r="GJ12" s="390"/>
      <c r="GK12" s="89">
        <v>18</v>
      </c>
      <c r="GL12" s="27" t="s">
        <v>218</v>
      </c>
      <c r="GM12" s="266">
        <f ca="1">IFERROR(INDIRECT("fixtures!" &amp; Dashboard!J1 &amp;79) - Dashboard!K1/24,"TBC")</f>
        <v>45948.625</v>
      </c>
      <c r="GN12" s="27"/>
      <c r="GO12" s="27" t="s">
        <v>2</v>
      </c>
      <c r="GP12" s="27" t="s">
        <v>93</v>
      </c>
      <c r="GQ12" s="89" t="str">
        <f>IF(ISBLANK(fixtures!$K79),"",fixtures!$K79)</f>
        <v/>
      </c>
      <c r="GR12" s="27" t="str">
        <f>IF(ISBLANK(fixtures!$L79),"",":")</f>
        <v/>
      </c>
      <c r="GS12" s="90" t="str">
        <f>IF(ISBLANK(fixtures!$L79),"",fixtures!$L79)</f>
        <v/>
      </c>
      <c r="GT12" s="27" t="str">
        <f>IF(ISBLANK(fixtures!$L79),"",IF(GQ12&gt;GS12,"W",IF(GQ12=GS12,"D","L")))</f>
        <v/>
      </c>
      <c r="GU12" s="27"/>
      <c r="GV12" s="27"/>
      <c r="GW12" s="382">
        <v>18</v>
      </c>
      <c r="GX12" s="380" t="s">
        <v>218</v>
      </c>
      <c r="GY12" s="384">
        <f ca="1">IFERROR(INDIRECT("fixtures!" &amp; Dashboard!J1 &amp;80) - Dashboard!K1/24,"TBC")</f>
        <v>45948.625</v>
      </c>
      <c r="GZ12" s="380"/>
      <c r="HA12" s="380" t="s">
        <v>15</v>
      </c>
      <c r="HB12" s="380" t="s">
        <v>93</v>
      </c>
      <c r="HC12" s="382" t="str">
        <f>IF(ISBLANK(fixtures!$K80),"",fixtures!$K80)</f>
        <v/>
      </c>
      <c r="HD12" s="380" t="str">
        <f>IF(ISBLANK(fixtures!$L80),"",":")</f>
        <v/>
      </c>
      <c r="HE12" s="383" t="str">
        <f>IF(ISBLANK(fixtures!$L80),"",fixtures!$L80)</f>
        <v/>
      </c>
      <c r="HF12" s="380" t="str">
        <f>IF(ISBLANK(fixtures!$L80),"",IF(HC12&gt;HE12,"W",IF(HC12=HE12,"D","L")))</f>
        <v/>
      </c>
      <c r="HG12" s="380"/>
      <c r="HH12" s="380"/>
      <c r="HI12" s="92">
        <v>18</v>
      </c>
      <c r="HJ12" s="29" t="s">
        <v>218</v>
      </c>
      <c r="HK12" s="272">
        <f ca="1">IFERROR(INDIRECT("fixtures!" &amp; Dashboard!J1 &amp;81) - Dashboard!K1/24,"TBC")</f>
        <v>45948.625</v>
      </c>
      <c r="HL12" s="29"/>
      <c r="HM12" s="29" t="s">
        <v>107</v>
      </c>
      <c r="HN12" s="29" t="s">
        <v>93</v>
      </c>
      <c r="HO12" s="92" t="str">
        <f>IF(ISBLANK(fixtures!$K81),"",fixtures!$K81)</f>
        <v/>
      </c>
      <c r="HP12" s="29" t="str">
        <f>IF(ISBLANK(fixtures!$L81),"",":")</f>
        <v/>
      </c>
      <c r="HQ12" s="94" t="str">
        <f>IF(ISBLANK(fixtures!$L81),"",fixtures!$L81)</f>
        <v/>
      </c>
      <c r="HR12" s="29" t="str">
        <f>IF(ISBLANK(fixtures!$L81),"",IF(HO12&gt;HQ12,"W",IF(HO12=HQ12,"D","L")))</f>
        <v/>
      </c>
      <c r="HS12" s="29"/>
      <c r="HT12" s="29"/>
      <c r="HU12" s="97">
        <v>18</v>
      </c>
      <c r="HV12" s="31" t="s">
        <v>218</v>
      </c>
      <c r="HW12" s="278">
        <f ca="1">IFERROR(INDIRECT("fixtures!" &amp; Dashboard!J1 &amp;80) - Dashboard!K1/24,"TBC")</f>
        <v>45948.625</v>
      </c>
      <c r="HX12" s="31"/>
      <c r="HY12" s="31" t="s">
        <v>443</v>
      </c>
      <c r="HZ12" s="31" t="s">
        <v>92</v>
      </c>
      <c r="IA12" s="97" t="str">
        <f>IF(ISBLANK(fixtures!$L80),"",fixtures!$L80)</f>
        <v/>
      </c>
      <c r="IB12" s="31" t="str">
        <f>IF(ISBLANK(fixtures!$L80),"",":")</f>
        <v/>
      </c>
      <c r="IC12" s="99" t="str">
        <f>IF(ISBLANK(fixtures!$K80),"",fixtures!$K80)</f>
        <v/>
      </c>
      <c r="ID12" s="31" t="str">
        <f>IF(ISBLANK(fixtures!$L80),"",IF(IA12&gt;IC12,"W",IF(IA12=IC12,"D","L")))</f>
        <v/>
      </c>
      <c r="IE12" s="31"/>
      <c r="IF12" s="31"/>
      <c r="II12" s="112"/>
    </row>
    <row r="13" spans="1:243">
      <c r="A13" s="66">
        <v>25</v>
      </c>
      <c r="B13" s="68" t="s">
        <v>218</v>
      </c>
      <c r="C13" s="214">
        <f ca="1">IFERROR(INDIRECT("fixtures!" &amp; Dashboard!J1 &amp;82) - Dashboard!K1/24,"TBC")</f>
        <v>45955.625</v>
      </c>
      <c r="D13" s="6"/>
      <c r="E13" s="6" t="s">
        <v>7</v>
      </c>
      <c r="F13" s="6" t="s">
        <v>93</v>
      </c>
      <c r="G13" s="66" t="str">
        <f>IF(ISBLANK(fixtures!$K82),"",fixtures!$K82)</f>
        <v/>
      </c>
      <c r="H13" s="6" t="str">
        <f>IF(ISBLANK(fixtures!$L82),"",":")</f>
        <v/>
      </c>
      <c r="I13" s="68" t="str">
        <f>IF(ISBLANK(fixtures!$L82),"",fixtures!$L82)</f>
        <v/>
      </c>
      <c r="J13" s="6" t="str">
        <f>IF(ISBLANK(fixtures!$L82),"",IF(G13&gt;I13,"W",IF(G13=I13,"D","L")))</f>
        <v/>
      </c>
      <c r="K13" s="6"/>
      <c r="L13" s="6"/>
      <c r="M13" s="382">
        <v>25</v>
      </c>
      <c r="N13" s="380" t="s">
        <v>218</v>
      </c>
      <c r="O13" s="384">
        <f ca="1">IFERROR(INDIRECT("fixtures!" &amp; Dashboard!J1 &amp;83) - Dashboard!K1/24,"TBC")</f>
        <v>45955.625</v>
      </c>
      <c r="P13" s="380"/>
      <c r="Q13" s="380" t="s">
        <v>10</v>
      </c>
      <c r="R13" s="380" t="s">
        <v>93</v>
      </c>
      <c r="S13" s="382" t="str">
        <f>IF(ISBLANK(fixtures!$K83),"",fixtures!$K83)</f>
        <v/>
      </c>
      <c r="T13" s="380" t="str">
        <f>IF(ISBLANK(fixtures!$L83),"",":")</f>
        <v/>
      </c>
      <c r="U13" s="383" t="str">
        <f>IF(ISBLANK(fixtures!$L83),"",fixtures!$L83)</f>
        <v/>
      </c>
      <c r="V13" s="380" t="str">
        <f>IF(ISBLANK(fixtures!$L83),"",IF(S13&gt;U13,"W",IF(S13=U13,"D","L")))</f>
        <v/>
      </c>
      <c r="W13" s="380"/>
      <c r="X13" s="380"/>
      <c r="Y13" s="418">
        <v>25</v>
      </c>
      <c r="Z13" s="412" t="s">
        <v>218</v>
      </c>
      <c r="AA13" s="420">
        <f ca="1">IFERROR(INDIRECT("fixtures!" &amp; Dashboard!J1 &amp;84) - Dashboard!K1/24,"TBC")</f>
        <v>45955.625</v>
      </c>
      <c r="AB13" s="412"/>
      <c r="AC13" s="412" t="s">
        <v>188</v>
      </c>
      <c r="AD13" s="412" t="s">
        <v>93</v>
      </c>
      <c r="AE13" s="418" t="str">
        <f>IF(ISBLANK(fixtures!$K84),"",fixtures!$K84)</f>
        <v/>
      </c>
      <c r="AF13" s="412" t="str">
        <f>IF(ISBLANK(fixtures!$L84),"",":")</f>
        <v/>
      </c>
      <c r="AG13" s="419" t="str">
        <f>IF(ISBLANK(fixtures!$L84),"",fixtures!$L84)</f>
        <v/>
      </c>
      <c r="AH13" s="412" t="str">
        <f>IF(ISBLANK(fixtures!$L84),"",IF(AE13&gt;AG13,"W",IF(AE13=AG13,"D","L")))</f>
        <v/>
      </c>
      <c r="AI13" s="412"/>
      <c r="AJ13" s="412"/>
      <c r="AK13" s="427">
        <v>25</v>
      </c>
      <c r="AL13" s="413" t="s">
        <v>218</v>
      </c>
      <c r="AM13" s="429">
        <f ca="1">IFERROR(INDIRECT("fixtures!" &amp; Dashboard!J1 &amp;85) - Dashboard!K1/24,"TBC")</f>
        <v>45955.625</v>
      </c>
      <c r="AN13" s="413"/>
      <c r="AO13" s="413" t="s">
        <v>9</v>
      </c>
      <c r="AP13" s="413" t="s">
        <v>93</v>
      </c>
      <c r="AQ13" s="427" t="str">
        <f>IF(ISBLANK(fixtures!$K85),"",fixtures!$K85)</f>
        <v/>
      </c>
      <c r="AR13" s="413" t="str">
        <f>IF(ISBLANK(fixtures!$L85),"",":")</f>
        <v/>
      </c>
      <c r="AS13" s="428" t="str">
        <f>IF(ISBLANK(fixtures!$L85),"",fixtures!$L85)</f>
        <v/>
      </c>
      <c r="AT13" s="413" t="str">
        <f>IF(ISBLANK(fixtures!$L85),"",IF(AQ13&gt;AS13,"W",IF(AQ13=AS13,"D","L")))</f>
        <v/>
      </c>
      <c r="AU13" s="413"/>
      <c r="AV13" s="413"/>
      <c r="AW13" s="71">
        <v>25</v>
      </c>
      <c r="AX13" s="9" t="s">
        <v>218</v>
      </c>
      <c r="AY13" s="219">
        <f ca="1">IFERROR(INDIRECT("fixtures!" &amp; Dashboard!J1 &amp;89) - Dashboard!K1/24,"TBC")</f>
        <v>45955.625</v>
      </c>
      <c r="AZ13" s="9"/>
      <c r="BA13" s="9" t="s">
        <v>11</v>
      </c>
      <c r="BB13" s="9" t="s">
        <v>92</v>
      </c>
      <c r="BC13" s="71" t="str">
        <f>IF(ISBLANK(fixtures!$L89),"",fixtures!$L89)</f>
        <v/>
      </c>
      <c r="BD13" s="9" t="str">
        <f>IF(ISBLANK(fixtures!$L89),"",":")</f>
        <v/>
      </c>
      <c r="BE13" s="73" t="str">
        <f>IF(ISBLANK(fixtures!$K89),"",fixtures!$K89)</f>
        <v/>
      </c>
      <c r="BF13" s="9" t="str">
        <f>IF(ISBLANK(fixtures!$L89),"",IF(BC13&gt;BE13,"W",IF(BC13=BE13,"D","L")))</f>
        <v/>
      </c>
      <c r="BG13" s="9"/>
      <c r="BH13" s="9"/>
      <c r="BI13" s="436">
        <v>25</v>
      </c>
      <c r="BJ13" s="414" t="s">
        <v>218</v>
      </c>
      <c r="BK13" s="438">
        <f ca="1">IFERROR(INDIRECT("fixtures!" &amp; Dashboard!J1 &amp;91) - Dashboard!K1/24,"TBC")</f>
        <v>45955.625</v>
      </c>
      <c r="BL13" s="414"/>
      <c r="BM13" s="414" t="s">
        <v>15</v>
      </c>
      <c r="BN13" s="414" t="s">
        <v>92</v>
      </c>
      <c r="BO13" s="436" t="str">
        <f>IF(ISBLANK(fixtures!$L91),"",fixtures!$L91)</f>
        <v/>
      </c>
      <c r="BP13" s="414" t="str">
        <f>IF(ISBLANK(fixtures!$L91),"",":")</f>
        <v/>
      </c>
      <c r="BQ13" s="437" t="str">
        <f>IF(ISBLANK(fixtures!$K91),"",fixtures!$K91)</f>
        <v/>
      </c>
      <c r="BR13" s="414" t="str">
        <f>IF(ISBLANK(fixtures!$L91),"",IF(BO13&gt;BQ13,"W",IF(BO13=BQ13,"D","L")))</f>
        <v/>
      </c>
      <c r="BS13" s="414"/>
      <c r="BT13" s="414"/>
      <c r="BU13" s="146">
        <v>25</v>
      </c>
      <c r="BV13" s="13" t="s">
        <v>218</v>
      </c>
      <c r="BW13" s="225">
        <f ca="1">IFERROR(INDIRECT("fixtures!" &amp; Dashboard!J1 &amp;86) - Dashboard!K1/24,"TBC")</f>
        <v>45955.625</v>
      </c>
      <c r="BX13" s="13"/>
      <c r="BY13" s="13" t="s">
        <v>443</v>
      </c>
      <c r="BZ13" s="13" t="s">
        <v>93</v>
      </c>
      <c r="CA13" s="146" t="str">
        <f>IF(ISBLANK(fixtures!$K86),"",fixtures!$K86)</f>
        <v/>
      </c>
      <c r="CB13" s="13" t="str">
        <f>IF(ISBLANK(fixtures!$L86),"",":")</f>
        <v/>
      </c>
      <c r="CC13" s="148" t="str">
        <f>IF(ISBLANK(fixtures!$L86),"",fixtures!$L86)</f>
        <v/>
      </c>
      <c r="CD13" s="13" t="str">
        <f>IF(ISBLANK(fixtures!$L86),"",IF(CA13&gt;CC13,"W",IF(CA13=CC13,"D","L")))</f>
        <v/>
      </c>
      <c r="CE13" s="13"/>
      <c r="CF13" s="13"/>
      <c r="CG13" s="394">
        <v>25</v>
      </c>
      <c r="CH13" s="14" t="s">
        <v>218</v>
      </c>
      <c r="CI13" s="396">
        <f ca="1">IFERROR(INDIRECT("fixtures!" &amp; Dashboard!J1 &amp;82) - Dashboard!K1/24,"TBC")</f>
        <v>45955.625</v>
      </c>
      <c r="CJ13" s="14"/>
      <c r="CK13" s="14" t="s">
        <v>1</v>
      </c>
      <c r="CL13" s="14" t="s">
        <v>92</v>
      </c>
      <c r="CM13" s="394" t="str">
        <f>IF(ISBLANK(fixtures!$L82),"",fixtures!$L82)</f>
        <v/>
      </c>
      <c r="CN13" s="14" t="str">
        <f>IF(ISBLANK(fixtures!$L82),"",":")</f>
        <v/>
      </c>
      <c r="CO13" s="395" t="str">
        <f>IF(ISBLANK(fixtures!$K82),"",fixtures!$K82)</f>
        <v/>
      </c>
      <c r="CP13" s="14" t="str">
        <f>IF(ISBLANK(fixtures!$L82),"",IF(CM13&gt;CO13,"W",IF(CM13=CO13,"D","L")))</f>
        <v/>
      </c>
      <c r="CQ13" s="14"/>
      <c r="CR13" s="14"/>
      <c r="CS13" s="231">
        <v>25</v>
      </c>
      <c r="CT13" s="17" t="s">
        <v>218</v>
      </c>
      <c r="CU13" s="233">
        <f ca="1">IFERROR(INDIRECT("fixtures!" &amp; Dashboard!J1 &amp;87) - Dashboard!K1/24,"TBC")</f>
        <v>45955.625</v>
      </c>
      <c r="CV13" s="17"/>
      <c r="CW13" s="17" t="s">
        <v>13</v>
      </c>
      <c r="CX13" s="17" t="s">
        <v>93</v>
      </c>
      <c r="CY13" s="231" t="str">
        <f>IF(ISBLANK(fixtures!$K87),"",fixtures!$K87)</f>
        <v/>
      </c>
      <c r="CZ13" s="17" t="str">
        <f>IF(ISBLANK(fixtures!$L87),"",":")</f>
        <v/>
      </c>
      <c r="DA13" s="232" t="str">
        <f>IF(ISBLANK(fixtures!$L87),"",fixtures!$L87)</f>
        <v/>
      </c>
      <c r="DB13" s="17" t="str">
        <f>IF(ISBLANK(fixtures!$L87),"",IF(CY13&gt;DA13,"W",IF(CY13=DA13,"D","L")))</f>
        <v/>
      </c>
      <c r="DC13" s="17"/>
      <c r="DD13" s="17"/>
      <c r="DE13" s="444">
        <v>25</v>
      </c>
      <c r="DF13" s="143" t="s">
        <v>218</v>
      </c>
      <c r="DG13" s="446">
        <f ca="1">IFERROR(INDIRECT("fixtures!" &amp; Dashboard!J1 &amp;90) - Dashboard!K1/24,"TBC")</f>
        <v>45955.625</v>
      </c>
      <c r="DH13" s="143"/>
      <c r="DI13" s="143" t="s">
        <v>12</v>
      </c>
      <c r="DJ13" s="143" t="s">
        <v>92</v>
      </c>
      <c r="DK13" s="444" t="str">
        <f>IF(ISBLANK(fixtures!$L90),"",fixtures!$L90)</f>
        <v/>
      </c>
      <c r="DL13" s="143" t="str">
        <f>IF(ISBLANK(fixtures!$L90),"",":")</f>
        <v/>
      </c>
      <c r="DM13" s="445" t="str">
        <f>IF(ISBLANK(fixtures!$K90),"",fixtures!$K90)</f>
        <v/>
      </c>
      <c r="DN13" s="143" t="str">
        <f>IF(ISBLANK(fixtures!$L90),"",IF(DK13&gt;DM13,"W",IF(DK13=DM13,"D","L")))</f>
        <v/>
      </c>
      <c r="DO13" s="143"/>
      <c r="DP13" s="143"/>
      <c r="DQ13" s="382">
        <v>25</v>
      </c>
      <c r="DR13" s="380" t="s">
        <v>218</v>
      </c>
      <c r="DS13" s="384">
        <f ca="1">IFERROR(INDIRECT("fixtures!" &amp; Dashboard!J1 &amp;88) - Dashboard!K1/24,"TBC")</f>
        <v>45955.625</v>
      </c>
      <c r="DT13" s="380"/>
      <c r="DU13" s="380" t="s">
        <v>14</v>
      </c>
      <c r="DV13" s="380" t="s">
        <v>93</v>
      </c>
      <c r="DW13" s="382" t="str">
        <f>IF(ISBLANK(fixtures!$K88),"",fixtures!$K88)</f>
        <v/>
      </c>
      <c r="DX13" s="380" t="str">
        <f>IF(ISBLANK(fixtures!$L88),"",":")</f>
        <v/>
      </c>
      <c r="DY13" s="383" t="str">
        <f>IF(ISBLANK(fixtures!$L88),"",fixtures!$L88)</f>
        <v/>
      </c>
      <c r="DZ13" s="380" t="str">
        <f>IF(ISBLANK(fixtures!$L88),"",IF(DW13&gt;DY13,"W",IF(DW13=DY13,"D","L")))</f>
        <v/>
      </c>
      <c r="EA13" s="380"/>
      <c r="EB13" s="380"/>
      <c r="EC13" s="207">
        <v>25</v>
      </c>
      <c r="ED13" s="19" t="s">
        <v>218</v>
      </c>
      <c r="EE13" s="239">
        <f ca="1">IFERROR(INDIRECT("fixtures!" &amp; Dashboard!J1 &amp;85) - Dashboard!K1/24,"TBC")</f>
        <v>45955.625</v>
      </c>
      <c r="EF13" s="19"/>
      <c r="EG13" s="19" t="s">
        <v>107</v>
      </c>
      <c r="EH13" s="19" t="s">
        <v>92</v>
      </c>
      <c r="EI13" s="207" t="str">
        <f>IF(ISBLANK(fixtures!$L85),"",fixtures!$L85)</f>
        <v/>
      </c>
      <c r="EJ13" s="19" t="str">
        <f>IF(ISBLANK(fixtures!$L85),"",":")</f>
        <v/>
      </c>
      <c r="EK13" s="209" t="str">
        <f>IF(ISBLANK(fixtures!$K85),"",fixtures!$K85)</f>
        <v/>
      </c>
      <c r="EL13" s="19" t="str">
        <f>IF(ISBLANK(fixtures!$L85),"",IF(EI13&gt;EK13,"W",IF(EI13=EK13,"D","L")))</f>
        <v/>
      </c>
      <c r="EM13" s="19"/>
      <c r="EN13" s="19"/>
      <c r="EO13" s="80">
        <v>25</v>
      </c>
      <c r="EP13" s="21" t="s">
        <v>218</v>
      </c>
      <c r="EQ13" s="245">
        <f ca="1">IFERROR(INDIRECT("fixtures!" &amp; Dashboard!J1 &amp;83) - Dashboard!K1/24,"TBC")</f>
        <v>45955.625</v>
      </c>
      <c r="ER13" s="21"/>
      <c r="ES13" s="21" t="s">
        <v>2</v>
      </c>
      <c r="ET13" s="21" t="s">
        <v>92</v>
      </c>
      <c r="EU13" s="80" t="str">
        <f>IF(ISBLANK(fixtures!$L83),"",fixtures!$L83)</f>
        <v/>
      </c>
      <c r="EV13" s="21" t="str">
        <f>IF(ISBLANK(fixtures!$L83),"",":")</f>
        <v/>
      </c>
      <c r="EW13" s="82" t="str">
        <f>IF(ISBLANK(fixtures!$K83),"",fixtures!$K83)</f>
        <v/>
      </c>
      <c r="EX13" s="21" t="str">
        <f>IF(ISBLANK(fixtures!$L83),"",IF(EU13&gt;EW13,"W",IF(EU13=EW13,"D","L")))</f>
        <v/>
      </c>
      <c r="EY13" s="21"/>
      <c r="EZ13" s="21"/>
      <c r="FA13" s="251">
        <v>25</v>
      </c>
      <c r="FB13" s="23" t="s">
        <v>218</v>
      </c>
      <c r="FC13" s="253">
        <f ca="1">IFERROR(INDIRECT("fixtures!" &amp; Dashboard!J1 &amp;89) - Dashboard!K1/24,"TBC")</f>
        <v>45955.625</v>
      </c>
      <c r="FD13" s="23"/>
      <c r="FE13" s="23" t="s">
        <v>4</v>
      </c>
      <c r="FF13" s="23" t="s">
        <v>93</v>
      </c>
      <c r="FG13" s="251" t="str">
        <f>IF(ISBLANK(fixtures!$K89),"",fixtures!$K89)</f>
        <v/>
      </c>
      <c r="FH13" s="23" t="str">
        <f>IF(ISBLANK(fixtures!$L89),"",":")</f>
        <v/>
      </c>
      <c r="FI13" s="252" t="str">
        <f>IF(ISBLANK(fixtures!$L89),"",fixtures!$L89)</f>
        <v/>
      </c>
      <c r="FJ13" s="23" t="str">
        <f>IF(ISBLANK(fixtures!$L89),"",IF(FG13&gt;FI13,"W",IF(FG13=FI13,"D","L")))</f>
        <v/>
      </c>
      <c r="FK13" s="23"/>
      <c r="FL13" s="23"/>
      <c r="FM13" s="85">
        <v>25</v>
      </c>
      <c r="FN13" s="25" t="s">
        <v>218</v>
      </c>
      <c r="FO13" s="259">
        <f ca="1">IFERROR(INDIRECT("fixtures!" &amp; Dashboard!J1 &amp;90) - Dashboard!K1/24,"TBC")</f>
        <v>45955.625</v>
      </c>
      <c r="FP13" s="25"/>
      <c r="FQ13" s="25" t="s">
        <v>108</v>
      </c>
      <c r="FR13" s="25" t="s">
        <v>93</v>
      </c>
      <c r="FS13" s="85" t="str">
        <f>IF(ISBLANK(fixtures!$K90),"",fixtures!$K90)</f>
        <v/>
      </c>
      <c r="FT13" s="25" t="str">
        <f>IF(ISBLANK(fixtures!$L90),"",":")</f>
        <v/>
      </c>
      <c r="FU13" s="87" t="str">
        <f>IF(ISBLANK(fixtures!$L90),"",fixtures!$L90)</f>
        <v/>
      </c>
      <c r="FV13" s="25" t="str">
        <f>IF(ISBLANK(fixtures!$L90),"",IF(FS13&gt;FU13,"W",IF(FS13=FU13,"D","L")))</f>
        <v/>
      </c>
      <c r="FW13" s="25"/>
      <c r="FX13" s="25"/>
      <c r="FY13" s="402">
        <v>25</v>
      </c>
      <c r="FZ13" s="390" t="s">
        <v>218</v>
      </c>
      <c r="GA13" s="404">
        <f ca="1">IFERROR(INDIRECT("fixtures!" &amp; Dashboard!J1 &amp;84) - Dashboard!K1/24,"TBC")</f>
        <v>45955.625</v>
      </c>
      <c r="GB13" s="390"/>
      <c r="GC13" s="390" t="s">
        <v>3</v>
      </c>
      <c r="GD13" s="390" t="s">
        <v>92</v>
      </c>
      <c r="GE13" s="402" t="str">
        <f>IF(ISBLANK(fixtures!$L84),"",fixtures!$L84)</f>
        <v/>
      </c>
      <c r="GF13" s="390" t="str">
        <f>IF(ISBLANK(fixtures!$L84),"",":")</f>
        <v/>
      </c>
      <c r="GG13" s="403" t="str">
        <f>IF(ISBLANK(fixtures!$K84),"",fixtures!$K84)</f>
        <v/>
      </c>
      <c r="GH13" s="390" t="str">
        <f>IF(ISBLANK(fixtures!$L84),"",IF(GE13&gt;GG13,"W",IF(GE13=GG13,"D","L")))</f>
        <v/>
      </c>
      <c r="GI13" s="390"/>
      <c r="GJ13" s="390"/>
      <c r="GK13" s="89">
        <v>25</v>
      </c>
      <c r="GL13" s="27" t="s">
        <v>218</v>
      </c>
      <c r="GM13" s="266">
        <f ca="1">IFERROR(INDIRECT("fixtures!" &amp; Dashboard!J1 &amp;87) - Dashboard!K1/24,"TBC")</f>
        <v>45955.625</v>
      </c>
      <c r="GN13" s="27"/>
      <c r="GO13" s="27" t="s">
        <v>8</v>
      </c>
      <c r="GP13" s="27" t="s">
        <v>92</v>
      </c>
      <c r="GQ13" s="89" t="str">
        <f>IF(ISBLANK(fixtures!$L87),"",fixtures!$L87)</f>
        <v/>
      </c>
      <c r="GR13" s="27" t="str">
        <f>IF(ISBLANK(fixtures!$L87),"",":")</f>
        <v/>
      </c>
      <c r="GS13" s="90" t="str">
        <f>IF(ISBLANK(fixtures!$K87),"",fixtures!$K87)</f>
        <v/>
      </c>
      <c r="GT13" s="27" t="str">
        <f>IF(ISBLANK(fixtures!$L87),"",IF(GQ13&gt;GS13,"W",IF(GQ13=GS13,"D","L")))</f>
        <v/>
      </c>
      <c r="GU13" s="27"/>
      <c r="GV13" s="27"/>
      <c r="GW13" s="382">
        <v>25</v>
      </c>
      <c r="GX13" s="380" t="s">
        <v>218</v>
      </c>
      <c r="GY13" s="384">
        <f ca="1">IFERROR(INDIRECT("fixtures!" &amp; Dashboard!J1 &amp;86) - Dashboard!K1/24,"TBC")</f>
        <v>45955.625</v>
      </c>
      <c r="GZ13" s="380"/>
      <c r="HA13" s="380" t="s">
        <v>6</v>
      </c>
      <c r="HB13" s="380" t="s">
        <v>92</v>
      </c>
      <c r="HC13" s="382" t="str">
        <f>IF(ISBLANK(fixtures!$L86),"",fixtures!$L86)</f>
        <v/>
      </c>
      <c r="HD13" s="380" t="str">
        <f>IF(ISBLANK(fixtures!$L86),"",":")</f>
        <v/>
      </c>
      <c r="HE13" s="383" t="str">
        <f>IF(ISBLANK(fixtures!$K86),"",fixtures!$K86)</f>
        <v/>
      </c>
      <c r="HF13" s="380" t="str">
        <f>IF(ISBLANK(fixtures!$L86),"",IF(HC13&gt;HE13,"W",IF(HC13=HE13,"D","L")))</f>
        <v/>
      </c>
      <c r="HG13" s="380"/>
      <c r="HH13" s="380"/>
      <c r="HI13" s="92">
        <v>25</v>
      </c>
      <c r="HJ13" s="29" t="s">
        <v>218</v>
      </c>
      <c r="HK13" s="272">
        <f ca="1">IFERROR(INDIRECT("fixtures!" &amp; Dashboard!J1 &amp;88) - Dashboard!K1/24,"TBC")</f>
        <v>45955.625</v>
      </c>
      <c r="HL13" s="29"/>
      <c r="HM13" s="29" t="s">
        <v>444</v>
      </c>
      <c r="HN13" s="29" t="s">
        <v>92</v>
      </c>
      <c r="HO13" s="92" t="str">
        <f>IF(ISBLANK(fixtures!$L88),"",fixtures!$L88)</f>
        <v/>
      </c>
      <c r="HP13" s="29" t="str">
        <f>IF(ISBLANK(fixtures!$L88),"",":")</f>
        <v/>
      </c>
      <c r="HQ13" s="94" t="str">
        <f>IF(ISBLANK(fixtures!$K88),"",fixtures!$K88)</f>
        <v/>
      </c>
      <c r="HR13" s="29" t="str">
        <f>IF(ISBLANK(fixtures!$L88),"",IF(HO13&gt;HQ13,"W",IF(HO13=HQ13,"D","L")))</f>
        <v/>
      </c>
      <c r="HS13" s="29"/>
      <c r="HT13" s="29"/>
      <c r="HU13" s="97">
        <v>25</v>
      </c>
      <c r="HV13" s="31" t="s">
        <v>218</v>
      </c>
      <c r="HW13" s="278">
        <f ca="1">IFERROR(INDIRECT("fixtures!" &amp; Dashboard!J1 &amp;91) - Dashboard!K1/24,"TBC")</f>
        <v>45955.625</v>
      </c>
      <c r="HX13" s="31"/>
      <c r="HY13" s="31" t="s">
        <v>5</v>
      </c>
      <c r="HZ13" s="31" t="s">
        <v>93</v>
      </c>
      <c r="IA13" s="97" t="str">
        <f>IF(ISBLANK(fixtures!$K91),"",fixtures!$K91)</f>
        <v/>
      </c>
      <c r="IB13" s="31" t="str">
        <f>IF(ISBLANK(fixtures!$L91),"",":")</f>
        <v/>
      </c>
      <c r="IC13" s="99" t="str">
        <f>IF(ISBLANK(fixtures!$L91),"",fixtures!$L91)</f>
        <v/>
      </c>
      <c r="ID13" s="31" t="str">
        <f>IF(ISBLANK(fixtures!$L91),"",IF(IA13&gt;IC13,"W",IF(IA13=IC13,"D","L")))</f>
        <v/>
      </c>
      <c r="IE13" s="31"/>
      <c r="IF13" s="31"/>
    </row>
    <row r="14" spans="1:243">
      <c r="A14" s="215" t="s">
        <v>19</v>
      </c>
      <c r="B14" s="6"/>
      <c r="C14" s="214"/>
      <c r="D14" s="6"/>
      <c r="E14" s="322"/>
      <c r="F14" s="6"/>
      <c r="G14" s="66"/>
      <c r="H14" s="6"/>
      <c r="I14" s="68"/>
      <c r="J14" s="6"/>
      <c r="K14" s="6"/>
      <c r="L14" s="6"/>
      <c r="M14" s="385" t="s">
        <v>19</v>
      </c>
      <c r="N14" s="380"/>
      <c r="O14" s="384"/>
      <c r="P14" s="380"/>
      <c r="Q14" s="380"/>
      <c r="R14" s="380"/>
      <c r="S14" s="382"/>
      <c r="T14" s="380"/>
      <c r="U14" s="383"/>
      <c r="V14" s="380"/>
      <c r="W14" s="380"/>
      <c r="X14" s="380"/>
      <c r="Y14" s="421" t="s">
        <v>19</v>
      </c>
      <c r="Z14" s="412"/>
      <c r="AA14" s="420"/>
      <c r="AB14" s="412"/>
      <c r="AC14" s="412"/>
      <c r="AD14" s="412"/>
      <c r="AE14" s="418"/>
      <c r="AF14" s="412"/>
      <c r="AG14" s="419"/>
      <c r="AH14" s="412"/>
      <c r="AI14" s="412"/>
      <c r="AJ14" s="412"/>
      <c r="AK14" s="430" t="s">
        <v>19</v>
      </c>
      <c r="AL14" s="413"/>
      <c r="AM14" s="429"/>
      <c r="AN14" s="413"/>
      <c r="AO14" s="413"/>
      <c r="AP14" s="413"/>
      <c r="AQ14" s="427"/>
      <c r="AR14" s="413"/>
      <c r="AS14" s="428"/>
      <c r="AT14" s="413"/>
      <c r="AU14" s="413"/>
      <c r="AV14" s="413"/>
      <c r="AW14" s="220" t="s">
        <v>19</v>
      </c>
      <c r="AX14" s="9"/>
      <c r="AY14" s="219"/>
      <c r="AZ14" s="9"/>
      <c r="BA14" s="9"/>
      <c r="BB14" s="9"/>
      <c r="BC14" s="71"/>
      <c r="BD14" s="9"/>
      <c r="BE14" s="73"/>
      <c r="BF14" s="9"/>
      <c r="BG14" s="9"/>
      <c r="BH14" s="9"/>
      <c r="BI14" s="439" t="s">
        <v>19</v>
      </c>
      <c r="BJ14" s="414"/>
      <c r="BK14" s="438"/>
      <c r="BL14" s="414"/>
      <c r="BM14" s="414"/>
      <c r="BN14" s="414"/>
      <c r="BO14" s="436"/>
      <c r="BP14" s="414"/>
      <c r="BQ14" s="437"/>
      <c r="BR14" s="414"/>
      <c r="BS14" s="414"/>
      <c r="BT14" s="414"/>
      <c r="BU14" s="226" t="s">
        <v>19</v>
      </c>
      <c r="BV14" s="13"/>
      <c r="BW14" s="225"/>
      <c r="BX14" s="13"/>
      <c r="BY14" s="13"/>
      <c r="BZ14" s="13"/>
      <c r="CA14" s="146"/>
      <c r="CB14" s="13"/>
      <c r="CC14" s="148"/>
      <c r="CD14" s="13"/>
      <c r="CE14" s="13"/>
      <c r="CF14" s="13"/>
      <c r="CG14" s="397" t="s">
        <v>19</v>
      </c>
      <c r="CH14" s="14"/>
      <c r="CI14" s="396"/>
      <c r="CJ14" s="14"/>
      <c r="CK14" s="14"/>
      <c r="CL14" s="14"/>
      <c r="CM14" s="394"/>
      <c r="CN14" s="14"/>
      <c r="CO14" s="395"/>
      <c r="CP14" s="14"/>
      <c r="CQ14" s="14"/>
      <c r="CR14" s="14"/>
      <c r="CS14" s="234" t="s">
        <v>19</v>
      </c>
      <c r="CT14" s="17"/>
      <c r="CU14" s="233"/>
      <c r="CV14" s="17"/>
      <c r="CW14" s="17"/>
      <c r="CX14" s="17"/>
      <c r="CY14" s="231"/>
      <c r="CZ14" s="17"/>
      <c r="DA14" s="232"/>
      <c r="DB14" s="17"/>
      <c r="DC14" s="17"/>
      <c r="DD14" s="17"/>
      <c r="DE14" s="447" t="s">
        <v>19</v>
      </c>
      <c r="DF14" s="143"/>
      <c r="DG14" s="446"/>
      <c r="DH14" s="143"/>
      <c r="DI14" s="143"/>
      <c r="DJ14" s="143"/>
      <c r="DK14" s="444"/>
      <c r="DL14" s="143"/>
      <c r="DM14" s="445"/>
      <c r="DN14" s="143"/>
      <c r="DO14" s="143"/>
      <c r="DP14" s="143"/>
      <c r="DQ14" s="385" t="s">
        <v>19</v>
      </c>
      <c r="DR14" s="380"/>
      <c r="DS14" s="384"/>
      <c r="DT14" s="380"/>
      <c r="DU14" s="380"/>
      <c r="DV14" s="380"/>
      <c r="DW14" s="382"/>
      <c r="DX14" s="380"/>
      <c r="DY14" s="383"/>
      <c r="DZ14" s="380"/>
      <c r="EA14" s="380"/>
      <c r="EB14" s="380"/>
      <c r="EC14" s="240" t="s">
        <v>19</v>
      </c>
      <c r="ED14" s="19"/>
      <c r="EE14" s="239"/>
      <c r="EF14" s="19"/>
      <c r="EG14" s="19"/>
      <c r="EH14" s="19"/>
      <c r="EI14" s="207"/>
      <c r="EJ14" s="19"/>
      <c r="EK14" s="209"/>
      <c r="EL14" s="19"/>
      <c r="EM14" s="19"/>
      <c r="EN14" s="19"/>
      <c r="EO14" s="246" t="s">
        <v>19</v>
      </c>
      <c r="EP14" s="21"/>
      <c r="EQ14" s="245"/>
      <c r="ER14" s="21"/>
      <c r="ES14" s="21"/>
      <c r="ET14" s="21"/>
      <c r="EU14" s="80"/>
      <c r="EV14" s="21"/>
      <c r="EW14" s="82"/>
      <c r="EX14" s="21"/>
      <c r="EY14" s="21"/>
      <c r="EZ14" s="21"/>
      <c r="FA14" s="254" t="s">
        <v>19</v>
      </c>
      <c r="FB14" s="23"/>
      <c r="FC14" s="253"/>
      <c r="FD14" s="23"/>
      <c r="FE14" s="23"/>
      <c r="FF14" s="23"/>
      <c r="FG14" s="251"/>
      <c r="FH14" s="23"/>
      <c r="FI14" s="252"/>
      <c r="FJ14" s="23"/>
      <c r="FK14" s="23"/>
      <c r="FL14" s="23"/>
      <c r="FM14" s="260" t="s">
        <v>19</v>
      </c>
      <c r="FN14" s="25"/>
      <c r="FO14" s="259"/>
      <c r="FP14" s="25"/>
      <c r="FQ14" s="25"/>
      <c r="FR14" s="25"/>
      <c r="FS14" s="85"/>
      <c r="FT14" s="25"/>
      <c r="FU14" s="87"/>
      <c r="FV14" s="25"/>
      <c r="FW14" s="25"/>
      <c r="FX14" s="25"/>
      <c r="FY14" s="405" t="s">
        <v>19</v>
      </c>
      <c r="FZ14" s="390"/>
      <c r="GA14" s="404"/>
      <c r="GB14" s="390"/>
      <c r="GC14" s="390"/>
      <c r="GD14" s="390"/>
      <c r="GE14" s="402"/>
      <c r="GF14" s="390"/>
      <c r="GG14" s="403"/>
      <c r="GH14" s="390"/>
      <c r="GI14" s="390"/>
      <c r="GJ14" s="390"/>
      <c r="GK14" s="267" t="s">
        <v>19</v>
      </c>
      <c r="GL14" s="27"/>
      <c r="GM14" s="266"/>
      <c r="GN14" s="27"/>
      <c r="GO14" s="27"/>
      <c r="GP14" s="27"/>
      <c r="GQ14" s="89"/>
      <c r="GR14" s="27"/>
      <c r="GS14" s="90"/>
      <c r="GT14" s="27"/>
      <c r="GU14" s="27"/>
      <c r="GV14" s="27"/>
      <c r="GW14" s="385" t="s">
        <v>19</v>
      </c>
      <c r="GX14" s="380"/>
      <c r="GY14" s="384"/>
      <c r="GZ14" s="380"/>
      <c r="HA14" s="380"/>
      <c r="HB14" s="380"/>
      <c r="HC14" s="382"/>
      <c r="HD14" s="380"/>
      <c r="HE14" s="383"/>
      <c r="HF14" s="380"/>
      <c r="HG14" s="380"/>
      <c r="HH14" s="380"/>
      <c r="HI14" s="273" t="s">
        <v>19</v>
      </c>
      <c r="HJ14" s="29"/>
      <c r="HK14" s="272"/>
      <c r="HL14" s="29"/>
      <c r="HM14" s="29"/>
      <c r="HN14" s="29"/>
      <c r="HO14" s="92"/>
      <c r="HP14" s="29"/>
      <c r="HQ14" s="94"/>
      <c r="HR14" s="29"/>
      <c r="HS14" s="29"/>
      <c r="HT14" s="29"/>
      <c r="HU14" s="279" t="s">
        <v>19</v>
      </c>
      <c r="HV14" s="31"/>
      <c r="HW14" s="278"/>
      <c r="HX14" s="31"/>
      <c r="HY14" s="31"/>
      <c r="HZ14" s="31"/>
      <c r="IA14" s="97"/>
      <c r="IB14" s="31"/>
      <c r="IC14" s="99"/>
      <c r="ID14" s="31"/>
      <c r="IE14" s="31"/>
      <c r="IF14" s="31"/>
    </row>
    <row r="15" spans="1:243">
      <c r="A15" s="66">
        <v>1</v>
      </c>
      <c r="B15" s="6" t="s">
        <v>218</v>
      </c>
      <c r="C15" s="214">
        <f ca="1">IFERROR(INDIRECT("fixtures!" &amp; Dashboard!J1 &amp;93) - Dashboard!K1/24,"TBC")</f>
        <v>45962.625</v>
      </c>
      <c r="D15" s="6"/>
      <c r="E15" s="6" t="s">
        <v>5</v>
      </c>
      <c r="F15" s="6" t="s">
        <v>92</v>
      </c>
      <c r="G15" s="66" t="str">
        <f>IF(ISBLANK(fixtures!$L93),"",fixtures!$L93)</f>
        <v/>
      </c>
      <c r="H15" s="6" t="str">
        <f>IF(ISBLANK(fixtures!$L93),"",":")</f>
        <v/>
      </c>
      <c r="I15" s="68" t="str">
        <f>IF(ISBLANK(fixtures!$K93),"",fixtures!$K93)</f>
        <v/>
      </c>
      <c r="J15" s="6" t="str">
        <f>IF(ISBLANK(fixtures!$L93),"",IF(G15&gt;I15,"W",IF(G15=I15,"D","L")))</f>
        <v/>
      </c>
      <c r="K15" s="6"/>
      <c r="L15" s="6"/>
      <c r="M15" s="382">
        <v>1</v>
      </c>
      <c r="N15" s="380" t="s">
        <v>218</v>
      </c>
      <c r="O15" s="384">
        <f ca="1">IFERROR(INDIRECT("fixtures!" &amp; Dashboard!J1 &amp;96) - Dashboard!K1/24,"TBC")</f>
        <v>45962.625</v>
      </c>
      <c r="P15" s="380"/>
      <c r="Q15" s="380" t="s">
        <v>9</v>
      </c>
      <c r="R15" s="380" t="s">
        <v>92</v>
      </c>
      <c r="S15" s="382" t="str">
        <f>IF(ISBLANK(fixtures!$L96),"",fixtures!$L96)</f>
        <v/>
      </c>
      <c r="T15" s="380" t="str">
        <f>IF(ISBLANK(fixtures!$L96),"",":")</f>
        <v/>
      </c>
      <c r="U15" s="383" t="str">
        <f>IF(ISBLANK(fixtures!$K96),"",fixtures!$K96)</f>
        <v/>
      </c>
      <c r="V15" s="380" t="str">
        <f>IF(ISBLANK(fixtures!$L96),"",IF(S15&gt;U15,"W",IF(S15=U15,"D","L")))</f>
        <v/>
      </c>
      <c r="W15" s="380"/>
      <c r="X15" s="380"/>
      <c r="Y15" s="418">
        <v>1</v>
      </c>
      <c r="Z15" s="412" t="s">
        <v>218</v>
      </c>
      <c r="AA15" s="420">
        <f ca="1">IFERROR(INDIRECT("fixtures!" &amp; Dashboard!J1 &amp;97) - Dashboard!K1/24,"TBC")</f>
        <v>45962.625</v>
      </c>
      <c r="AB15" s="412"/>
      <c r="AC15" s="412" t="s">
        <v>10</v>
      </c>
      <c r="AD15" s="412" t="s">
        <v>92</v>
      </c>
      <c r="AE15" s="418" t="str">
        <f>IF(ISBLANK(fixtures!$L97),"",fixtures!$L97)</f>
        <v/>
      </c>
      <c r="AF15" s="412" t="str">
        <f>IF(ISBLANK(fixtures!$L97),"",":")</f>
        <v/>
      </c>
      <c r="AG15" s="419" t="str">
        <f>IF(ISBLANK(fixtures!$K97),"",fixtures!$K97)</f>
        <v/>
      </c>
      <c r="AH15" s="412" t="str">
        <f>IF(ISBLANK(fixtures!$L97),"",IF(AE15&gt;AG15,"W",IF(AE15=AG15,"D","L")))</f>
        <v/>
      </c>
      <c r="AI15" s="412"/>
      <c r="AJ15" s="412"/>
      <c r="AK15" s="427">
        <v>1</v>
      </c>
      <c r="AL15" s="413" t="s">
        <v>218</v>
      </c>
      <c r="AM15" s="429">
        <f ca="1">IFERROR(INDIRECT("fixtures!" &amp; Dashboard!J1 &amp;94) - Dashboard!K1/24,"TBC")</f>
        <v>45962.625</v>
      </c>
      <c r="AN15" s="413"/>
      <c r="AO15" s="413" t="s">
        <v>7</v>
      </c>
      <c r="AP15" s="413" t="s">
        <v>92</v>
      </c>
      <c r="AQ15" s="427" t="str">
        <f>IF(ISBLANK(fixtures!$L94),"",fixtures!$L94)</f>
        <v/>
      </c>
      <c r="AR15" s="413" t="str">
        <f>IF(ISBLANK(fixtures!$L94),"",":")</f>
        <v/>
      </c>
      <c r="AS15" s="428" t="str">
        <f>IF(ISBLANK(fixtures!$K94),"",fixtures!$K94)</f>
        <v/>
      </c>
      <c r="AT15" s="413" t="str">
        <f>IF(ISBLANK(fixtures!$L94),"",IF(AQ15&gt;AS15,"W",IF(AQ15=AS15,"D","L")))</f>
        <v/>
      </c>
      <c r="AU15" s="413"/>
      <c r="AV15" s="413"/>
      <c r="AW15" s="71">
        <v>1</v>
      </c>
      <c r="AX15" s="9" t="s">
        <v>218</v>
      </c>
      <c r="AY15" s="219">
        <f ca="1">IFERROR(INDIRECT("fixtures!" &amp; Dashboard!J1 &amp;92) - Dashboard!K1/24,"TBC")</f>
        <v>45962.625</v>
      </c>
      <c r="AZ15" s="9"/>
      <c r="BA15" s="9" t="s">
        <v>444</v>
      </c>
      <c r="BB15" s="9" t="s">
        <v>93</v>
      </c>
      <c r="BC15" s="71" t="str">
        <f>IF(ISBLANK(fixtures!$K92),"",fixtures!$K92)</f>
        <v/>
      </c>
      <c r="BD15" s="9" t="str">
        <f>IF(ISBLANK(fixtures!$L92),"",":")</f>
        <v/>
      </c>
      <c r="BE15" s="73" t="str">
        <f>IF(ISBLANK(fixtures!$L92),"",fixtures!$L92)</f>
        <v/>
      </c>
      <c r="BF15" s="9" t="str">
        <f>IF(ISBLANK(fixtures!$L92),"",IF(BC15&gt;BE15,"W",IF(BC15=BE15,"D","L")))</f>
        <v/>
      </c>
      <c r="BG15" s="9"/>
      <c r="BH15" s="9"/>
      <c r="BI15" s="436">
        <v>1</v>
      </c>
      <c r="BJ15" s="414" t="s">
        <v>218</v>
      </c>
      <c r="BK15" s="438">
        <f ca="1">IFERROR(INDIRECT("fixtures!" &amp; Dashboard!J1 &amp;93) - Dashboard!K1/24,"TBC")</f>
        <v>45962.625</v>
      </c>
      <c r="BL15" s="414"/>
      <c r="BM15" s="414" t="s">
        <v>1</v>
      </c>
      <c r="BN15" s="414" t="s">
        <v>93</v>
      </c>
      <c r="BO15" s="436" t="str">
        <f>IF(ISBLANK(fixtures!$K93),"",fixtures!$K93)</f>
        <v/>
      </c>
      <c r="BP15" s="414" t="str">
        <f>IF(ISBLANK(fixtures!$L93),"",":")</f>
        <v/>
      </c>
      <c r="BQ15" s="437" t="str">
        <f>IF(ISBLANK(fixtures!$L93),"",fixtures!$L93)</f>
        <v/>
      </c>
      <c r="BR15" s="414" t="str">
        <f>IF(ISBLANK(fixtures!$L93),"",IF(BO15&gt;BQ15,"W",IF(BO15=BQ15,"D","L")))</f>
        <v/>
      </c>
      <c r="BS15" s="414"/>
      <c r="BT15" s="414"/>
      <c r="BU15" s="146">
        <v>1</v>
      </c>
      <c r="BV15" s="13" t="s">
        <v>218</v>
      </c>
      <c r="BW15" s="225">
        <f ca="1">IFERROR(INDIRECT("fixtures!" &amp; Dashboard!J1 &amp;99) - Dashboard!K1/24,"TBC")</f>
        <v>45962.625</v>
      </c>
      <c r="BX15" s="13"/>
      <c r="BY15" s="13" t="s">
        <v>13</v>
      </c>
      <c r="BZ15" s="13" t="s">
        <v>92</v>
      </c>
      <c r="CA15" s="146" t="str">
        <f>IF(ISBLANK(fixtures!$L99),"",fixtures!$L99)</f>
        <v/>
      </c>
      <c r="CB15" s="13" t="str">
        <f>IF(ISBLANK(fixtures!$L99),"",":")</f>
        <v/>
      </c>
      <c r="CC15" s="148" t="str">
        <f>IF(ISBLANK(fixtures!$K99),"",fixtures!$K99)</f>
        <v/>
      </c>
      <c r="CD15" s="13" t="str">
        <f>IF(ISBLANK(fixtures!$L99),"",IF(CA15&gt;CC15,"W",IF(CA15=CC15,"D","L")))</f>
        <v/>
      </c>
      <c r="CE15" s="13"/>
      <c r="CF15" s="13"/>
      <c r="CG15" s="394">
        <v>1</v>
      </c>
      <c r="CH15" s="14" t="s">
        <v>218</v>
      </c>
      <c r="CI15" s="396">
        <f ca="1">IFERROR(INDIRECT("fixtures!" &amp; Dashboard!J1 &amp;94) - Dashboard!K1/24,"TBC")</f>
        <v>45962.625</v>
      </c>
      <c r="CJ15" s="14"/>
      <c r="CK15" s="14" t="s">
        <v>107</v>
      </c>
      <c r="CL15" s="14" t="s">
        <v>93</v>
      </c>
      <c r="CM15" s="394" t="str">
        <f>IF(ISBLANK(fixtures!$K94),"",fixtures!$K94)</f>
        <v/>
      </c>
      <c r="CN15" s="14" t="str">
        <f>IF(ISBLANK(fixtures!$L94),"",":")</f>
        <v/>
      </c>
      <c r="CO15" s="395" t="str">
        <f>IF(ISBLANK(fixtures!$L94),"",fixtures!$L94)</f>
        <v/>
      </c>
      <c r="CP15" s="14" t="str">
        <f>IF(ISBLANK(fixtures!$L94),"",IF(CM15&gt;CO15,"W",IF(CM15=CO15,"D","L")))</f>
        <v/>
      </c>
      <c r="CQ15" s="14"/>
      <c r="CR15" s="14"/>
      <c r="CS15" s="231">
        <v>1</v>
      </c>
      <c r="CT15" s="17" t="s">
        <v>218</v>
      </c>
      <c r="CU15" s="233">
        <f ca="1">IFERROR(INDIRECT("fixtures!" &amp; Dashboard!J1 &amp;100) - Dashboard!K1/24,"TBC")</f>
        <v>45962.625</v>
      </c>
      <c r="CV15" s="17"/>
      <c r="CW15" s="17" t="s">
        <v>443</v>
      </c>
      <c r="CX15" s="17" t="s">
        <v>92</v>
      </c>
      <c r="CY15" s="231" t="str">
        <f>IF(ISBLANK(fixtures!$L100),"",fixtures!$L100)</f>
        <v/>
      </c>
      <c r="CZ15" s="17" t="str">
        <f>IF(ISBLANK(fixtures!$L100),"",":")</f>
        <v/>
      </c>
      <c r="DA15" s="232" t="str">
        <f>IF(ISBLANK(fixtures!$K100),"",fixtures!$K100)</f>
        <v/>
      </c>
      <c r="DB15" s="17" t="str">
        <f>IF(ISBLANK(fixtures!$L100),"",IF(CY15&gt;DA15,"W",IF(CY15=DA15,"D","L")))</f>
        <v/>
      </c>
      <c r="DC15" s="17"/>
      <c r="DD15" s="17"/>
      <c r="DE15" s="444">
        <v>1</v>
      </c>
      <c r="DF15" s="143" t="s">
        <v>218</v>
      </c>
      <c r="DG15" s="446">
        <f ca="1">IFERROR(INDIRECT("fixtures!" &amp; Dashboard!J1 &amp;95) - Dashboard!K1/24,"TBC")</f>
        <v>45962.625</v>
      </c>
      <c r="DH15" s="143"/>
      <c r="DI15" s="143" t="s">
        <v>15</v>
      </c>
      <c r="DJ15" s="143" t="s">
        <v>93</v>
      </c>
      <c r="DK15" s="444" t="str">
        <f>IF(ISBLANK(fixtures!$K95),"",fixtures!$K95)</f>
        <v/>
      </c>
      <c r="DL15" s="143" t="str">
        <f>IF(ISBLANK(fixtures!$L95),"",":")</f>
        <v/>
      </c>
      <c r="DM15" s="445" t="str">
        <f>IF(ISBLANK(fixtures!$L95),"",fixtures!$L95)</f>
        <v/>
      </c>
      <c r="DN15" s="143" t="str">
        <f>IF(ISBLANK(fixtures!$L95),"",IF(DK15&gt;DM15,"W",IF(DK15=DM15,"D","L")))</f>
        <v/>
      </c>
      <c r="DO15" s="143"/>
      <c r="DP15" s="143"/>
      <c r="DQ15" s="382">
        <v>1</v>
      </c>
      <c r="DR15" s="380" t="s">
        <v>218</v>
      </c>
      <c r="DS15" s="384">
        <f ca="1">IFERROR(INDIRECT("fixtures!" &amp; Dashboard!J1 &amp;92) - Dashboard!K1/24,"TBC")</f>
        <v>45962.625</v>
      </c>
      <c r="DT15" s="380"/>
      <c r="DU15" s="380" t="s">
        <v>4</v>
      </c>
      <c r="DV15" s="380" t="s">
        <v>92</v>
      </c>
      <c r="DW15" s="382" t="str">
        <f>IF(ISBLANK(fixtures!$L92),"",fixtures!$L92)</f>
        <v/>
      </c>
      <c r="DX15" s="380" t="str">
        <f>IF(ISBLANK(fixtures!$L92),"",":")</f>
        <v/>
      </c>
      <c r="DY15" s="383" t="str">
        <f>IF(ISBLANK(fixtures!$K92),"",fixtures!$K92)</f>
        <v/>
      </c>
      <c r="DZ15" s="380" t="str">
        <f>IF(ISBLANK(fixtures!$L92),"",IF(DW15&gt;DY15,"W",IF(DW15=DY15,"D","L")))</f>
        <v/>
      </c>
      <c r="EA15" s="380"/>
      <c r="EB15" s="380"/>
      <c r="EC15" s="207">
        <v>1</v>
      </c>
      <c r="ED15" s="19" t="s">
        <v>218</v>
      </c>
      <c r="EE15" s="239">
        <f ca="1">IFERROR(INDIRECT("fixtures!" &amp; Dashboard!J1 &amp;96) - Dashboard!K1/24,"TBC")</f>
        <v>45962.625</v>
      </c>
      <c r="EF15" s="19"/>
      <c r="EG15" s="19" t="s">
        <v>2</v>
      </c>
      <c r="EH15" s="19" t="s">
        <v>93</v>
      </c>
      <c r="EI15" s="207" t="str">
        <f>IF(ISBLANK(fixtures!$K96),"",fixtures!$K96)</f>
        <v/>
      </c>
      <c r="EJ15" s="19" t="str">
        <f>IF(ISBLANK(fixtures!$L96),"",":")</f>
        <v/>
      </c>
      <c r="EK15" s="209" t="str">
        <f>IF(ISBLANK(fixtures!$L96),"",fixtures!$L96)</f>
        <v/>
      </c>
      <c r="EL15" s="19" t="str">
        <f>IF(ISBLANK(fixtures!$L96),"",IF(EI15&gt;EK15,"W",IF(EI15=EK15,"D","L")))</f>
        <v/>
      </c>
      <c r="EM15" s="19"/>
      <c r="EN15" s="19"/>
      <c r="EO15" s="80">
        <v>1</v>
      </c>
      <c r="EP15" s="21" t="s">
        <v>218</v>
      </c>
      <c r="EQ15" s="245">
        <f ca="1">IFERROR(INDIRECT("fixtures!" &amp; Dashboard!J1 &amp;97) - Dashboard!K1/24,"TBC")</f>
        <v>45962.625</v>
      </c>
      <c r="ER15" s="21"/>
      <c r="ES15" s="21" t="s">
        <v>3</v>
      </c>
      <c r="ET15" s="21" t="s">
        <v>93</v>
      </c>
      <c r="EU15" s="80" t="str">
        <f>IF(ISBLANK(fixtures!$K97),"",fixtures!$K97)</f>
        <v/>
      </c>
      <c r="EV15" s="21" t="str">
        <f>IF(ISBLANK(fixtures!$L97),"",":")</f>
        <v/>
      </c>
      <c r="EW15" s="82" t="str">
        <f>IF(ISBLANK(fixtures!$L97),"",fixtures!$L97)</f>
        <v/>
      </c>
      <c r="EX15" s="21" t="str">
        <f>IF(ISBLANK(fixtures!$L97),"",IF(EU15&gt;EW15,"W",IF(EU15=EW15,"D","L")))</f>
        <v/>
      </c>
      <c r="EY15" s="21"/>
      <c r="EZ15" s="21"/>
      <c r="FA15" s="251">
        <v>1</v>
      </c>
      <c r="FB15" s="23" t="s">
        <v>218</v>
      </c>
      <c r="FC15" s="253">
        <f ca="1">IFERROR(INDIRECT("fixtures!" &amp; Dashboard!J1 &amp;98) - Dashboard!K1/24,"TBC")</f>
        <v>45962.625</v>
      </c>
      <c r="FD15" s="23"/>
      <c r="FE15" s="23" t="s">
        <v>188</v>
      </c>
      <c r="FF15" s="23" t="s">
        <v>92</v>
      </c>
      <c r="FG15" s="251" t="str">
        <f>IF(ISBLANK(fixtures!$L98),"",fixtures!$L98)</f>
        <v/>
      </c>
      <c r="FH15" s="23" t="str">
        <f>IF(ISBLANK(fixtures!$L98),"",":")</f>
        <v/>
      </c>
      <c r="FI15" s="252" t="str">
        <f>IF(ISBLANK(fixtures!$K98),"",fixtures!$K98)</f>
        <v/>
      </c>
      <c r="FJ15" s="23" t="str">
        <f>IF(ISBLANK(fixtures!$L98),"",IF(FG15&gt;FI15,"W",IF(FG15=FI15,"D","L")))</f>
        <v/>
      </c>
      <c r="FK15" s="23"/>
      <c r="FL15" s="23"/>
      <c r="FM15" s="85">
        <v>1</v>
      </c>
      <c r="FN15" s="25" t="s">
        <v>218</v>
      </c>
      <c r="FO15" s="259">
        <f ca="1">IFERROR(INDIRECT("fixtures!" &amp; Dashboard!J1 &amp;101) - Dashboard!K1/24,"TBC")</f>
        <v>45962.625</v>
      </c>
      <c r="FP15" s="25"/>
      <c r="FQ15" s="25" t="s">
        <v>14</v>
      </c>
      <c r="FR15" s="25" t="s">
        <v>92</v>
      </c>
      <c r="FS15" s="85" t="str">
        <f>IF(ISBLANK(fixtures!$L101),"",fixtures!$L101)</f>
        <v/>
      </c>
      <c r="FT15" s="25" t="str">
        <f>IF(ISBLANK(fixtures!$L101),"",":")</f>
        <v/>
      </c>
      <c r="FU15" s="87" t="str">
        <f>IF(ISBLANK(fixtures!$K101),"",fixtures!$K101)</f>
        <v/>
      </c>
      <c r="FV15" s="25" t="str">
        <f>IF(ISBLANK(fixtures!$L101),"",IF(FS15&gt;FU15,"W",IF(FS15=FU15,"D","L")))</f>
        <v/>
      </c>
      <c r="FW15" s="25"/>
      <c r="FX15" s="25"/>
      <c r="FY15" s="402">
        <v>1</v>
      </c>
      <c r="FZ15" s="390" t="s">
        <v>218</v>
      </c>
      <c r="GA15" s="404">
        <f ca="1">IFERROR(INDIRECT("fixtures!" &amp; Dashboard!J1 &amp;98) - Dashboard!K1/24,"TBC")</f>
        <v>45962.625</v>
      </c>
      <c r="GB15" s="390"/>
      <c r="GC15" s="390" t="s">
        <v>11</v>
      </c>
      <c r="GD15" s="390" t="s">
        <v>93</v>
      </c>
      <c r="GE15" s="402" t="str">
        <f>IF(ISBLANK(fixtures!$K98),"",fixtures!$K98)</f>
        <v/>
      </c>
      <c r="GF15" s="390" t="str">
        <f>IF(ISBLANK(fixtures!$L98),"",":")</f>
        <v/>
      </c>
      <c r="GG15" s="403" t="str">
        <f>IF(ISBLANK(fixtures!$L98),"",fixtures!$L98)</f>
        <v/>
      </c>
      <c r="GH15" s="390" t="str">
        <f>IF(ISBLANK(fixtures!$L98),"",IF(GE15&gt;GG15,"W",IF(GE15=GG15,"D","L")))</f>
        <v/>
      </c>
      <c r="GI15" s="390"/>
      <c r="GJ15" s="390"/>
      <c r="GK15" s="89">
        <v>1</v>
      </c>
      <c r="GL15" s="27" t="s">
        <v>218</v>
      </c>
      <c r="GM15" s="266">
        <f ca="1">IFERROR(INDIRECT("fixtures!" &amp; Dashboard!J1 &amp;99) - Dashboard!K1/24,"TBC")</f>
        <v>45962.625</v>
      </c>
      <c r="GN15" s="27"/>
      <c r="GO15" s="27" t="s">
        <v>6</v>
      </c>
      <c r="GP15" s="27" t="s">
        <v>93</v>
      </c>
      <c r="GQ15" s="89" t="str">
        <f>IF(ISBLANK(fixtures!$K99),"",fixtures!$K99)</f>
        <v/>
      </c>
      <c r="GR15" s="27" t="str">
        <f>IF(ISBLANK(fixtures!$L99),"",":")</f>
        <v/>
      </c>
      <c r="GS15" s="90" t="str">
        <f>IF(ISBLANK(fixtures!$L99),"",fixtures!$L99)</f>
        <v/>
      </c>
      <c r="GT15" s="27" t="str">
        <f>IF(ISBLANK(fixtures!$L99),"",IF(GQ15&gt;GS15,"W",IF(GQ15=GS15,"D","L")))</f>
        <v/>
      </c>
      <c r="GU15" s="27"/>
      <c r="GV15" s="27"/>
      <c r="GW15" s="382">
        <v>1</v>
      </c>
      <c r="GX15" s="380" t="s">
        <v>218</v>
      </c>
      <c r="GY15" s="384">
        <f ca="1">IFERROR(INDIRECT("fixtures!" &amp; Dashboard!J1 &amp;100) - Dashboard!K1/24,"TBC")</f>
        <v>45962.625</v>
      </c>
      <c r="GZ15" s="380"/>
      <c r="HA15" s="380" t="s">
        <v>8</v>
      </c>
      <c r="HB15" s="380" t="s">
        <v>93</v>
      </c>
      <c r="HC15" s="382" t="str">
        <f>IF(ISBLANK(fixtures!$K100),"",fixtures!$K100)</f>
        <v/>
      </c>
      <c r="HD15" s="380" t="str">
        <f>IF(ISBLANK(fixtures!$L100),"",":")</f>
        <v/>
      </c>
      <c r="HE15" s="383" t="str">
        <f>IF(ISBLANK(fixtures!$L100),"",fixtures!$L100)</f>
        <v/>
      </c>
      <c r="HF15" s="380" t="str">
        <f>IF(ISBLANK(fixtures!$L100),"",IF(HC15&gt;HE15,"W",IF(HC15=HE15,"D","L")))</f>
        <v/>
      </c>
      <c r="HG15" s="380"/>
      <c r="HH15" s="380"/>
      <c r="HI15" s="92">
        <v>1</v>
      </c>
      <c r="HJ15" s="29" t="s">
        <v>218</v>
      </c>
      <c r="HK15" s="272">
        <f ca="1">IFERROR(INDIRECT("fixtures!" &amp; Dashboard!J1 &amp;101) - Dashboard!K1/24,"TBC")</f>
        <v>45962.625</v>
      </c>
      <c r="HL15" s="29"/>
      <c r="HM15" s="29" t="s">
        <v>12</v>
      </c>
      <c r="HN15" s="29" t="s">
        <v>93</v>
      </c>
      <c r="HO15" s="92" t="str">
        <f>IF(ISBLANK(fixtures!$K101),"",fixtures!$K101)</f>
        <v/>
      </c>
      <c r="HP15" s="29" t="str">
        <f>IF(ISBLANK(fixtures!$L101),"",":")</f>
        <v/>
      </c>
      <c r="HQ15" s="94" t="str">
        <f>IF(ISBLANK(fixtures!$L101),"",fixtures!$L101)</f>
        <v/>
      </c>
      <c r="HR15" s="29" t="str">
        <f>IF(ISBLANK(fixtures!$L101),"",IF(HO15&gt;HQ15,"W",IF(HO15=HQ15,"D","L")))</f>
        <v/>
      </c>
      <c r="HS15" s="29"/>
      <c r="HT15" s="29"/>
      <c r="HU15" s="97">
        <v>1</v>
      </c>
      <c r="HV15" s="99" t="s">
        <v>218</v>
      </c>
      <c r="HW15" s="278">
        <f ca="1">IFERROR(INDIRECT("fixtures!" &amp; Dashboard!J1 &amp;95) - Dashboard!K1/24,"TBC")</f>
        <v>45962.625</v>
      </c>
      <c r="HX15" s="31"/>
      <c r="HY15" s="31" t="s">
        <v>108</v>
      </c>
      <c r="HZ15" s="31" t="s">
        <v>92</v>
      </c>
      <c r="IA15" s="97" t="str">
        <f>IF(ISBLANK(fixtures!$L95),"",fixtures!$L95)</f>
        <v/>
      </c>
      <c r="IB15" s="31" t="str">
        <f>IF(ISBLANK(fixtures!$L95),"",":")</f>
        <v/>
      </c>
      <c r="IC15" s="99" t="str">
        <f>IF(ISBLANK(fixtures!$K95),"",fixtures!$K95)</f>
        <v/>
      </c>
      <c r="ID15" s="31" t="str">
        <f>IF(ISBLANK(fixtures!$L95),"",IF(IA15&gt;IC15,"W",IF(IA15=IC15,"D","L")))</f>
        <v/>
      </c>
      <c r="IE15" s="31"/>
      <c r="IF15" s="31"/>
    </row>
    <row r="16" spans="1:243">
      <c r="A16" s="66">
        <v>8</v>
      </c>
      <c r="B16" s="6" t="s">
        <v>218</v>
      </c>
      <c r="C16" s="214">
        <f ca="1">IFERROR(INDIRECT("fixtures!" &amp; Dashboard!J1 &amp;110) - Dashboard!K1/24,"TBC")</f>
        <v>45969.625</v>
      </c>
      <c r="D16" s="6"/>
      <c r="E16" s="6" t="s">
        <v>443</v>
      </c>
      <c r="F16" s="6" t="s">
        <v>92</v>
      </c>
      <c r="G16" s="66" t="str">
        <f>IF(ISBLANK(fixtures!$L110),"",fixtures!$L110)</f>
        <v/>
      </c>
      <c r="H16" s="6" t="str">
        <f>IF(ISBLANK(fixtures!$L110),"",":")</f>
        <v/>
      </c>
      <c r="I16" s="68" t="str">
        <f>IF(ISBLANK(fixtures!$K110),"",fixtures!$K110)</f>
        <v/>
      </c>
      <c r="J16" s="6" t="str">
        <f>IF(ISBLANK(fixtures!$L110),"",IF(G16&gt;I16,"W",IF(G16=I16,"D","L")))</f>
        <v/>
      </c>
      <c r="K16" s="6"/>
      <c r="L16" s="6"/>
      <c r="M16" s="382">
        <v>8</v>
      </c>
      <c r="N16" s="380" t="s">
        <v>218</v>
      </c>
      <c r="O16" s="384">
        <f ca="1">IFERROR(INDIRECT("fixtures!" &amp; Dashboard!J1 &amp;102) - Dashboard!K1/24,"TBC")</f>
        <v>45969.625</v>
      </c>
      <c r="P16" s="380"/>
      <c r="Q16" s="380" t="s">
        <v>3</v>
      </c>
      <c r="R16" s="380" t="s">
        <v>93</v>
      </c>
      <c r="S16" s="382" t="str">
        <f>IF(ISBLANK(fixtures!$K102),"",fixtures!$K102)</f>
        <v/>
      </c>
      <c r="T16" s="380" t="str">
        <f>IF(ISBLANK(fixtures!$L102),"",":")</f>
        <v/>
      </c>
      <c r="U16" s="383" t="str">
        <f>IF(ISBLANK(fixtures!$L102),"",fixtures!$L102)</f>
        <v/>
      </c>
      <c r="V16" s="380" t="str">
        <f>IF(ISBLANK(fixtures!$L102),"",IF(S16&gt;U16,"W",IF(S16=U16,"D","L")))</f>
        <v/>
      </c>
      <c r="W16" s="380"/>
      <c r="X16" s="380"/>
      <c r="Y16" s="418">
        <v>8</v>
      </c>
      <c r="Z16" s="412" t="s">
        <v>218</v>
      </c>
      <c r="AA16" s="420">
        <f ca="1">IFERROR(INDIRECT("fixtures!" &amp; Dashboard!J1 &amp;102) - Dashboard!K1/24,"TBC")</f>
        <v>45969.625</v>
      </c>
      <c r="AB16" s="412"/>
      <c r="AC16" s="412" t="s">
        <v>2</v>
      </c>
      <c r="AD16" s="412" t="s">
        <v>92</v>
      </c>
      <c r="AE16" s="418" t="str">
        <f>IF(ISBLANK(fixtures!$L102),"",fixtures!$L102)</f>
        <v/>
      </c>
      <c r="AF16" s="412" t="str">
        <f>IF(ISBLANK(fixtures!$L102),"",":")</f>
        <v/>
      </c>
      <c r="AG16" s="419" t="str">
        <f>IF(ISBLANK(fixtures!$K102),"",fixtures!$K102)</f>
        <v/>
      </c>
      <c r="AH16" s="412" t="str">
        <f>IF(ISBLANK(fixtures!$L102),"",IF(AE16&gt;AG16,"W",IF(AE16=AG16,"D","L")))</f>
        <v/>
      </c>
      <c r="AI16" s="412"/>
      <c r="AJ16" s="412"/>
      <c r="AK16" s="427">
        <v>8</v>
      </c>
      <c r="AL16" s="413" t="s">
        <v>218</v>
      </c>
      <c r="AM16" s="429">
        <f ca="1">IFERROR(INDIRECT("fixtures!" &amp; Dashboard!J1 &amp;103) - Dashboard!K1/24,"TBC")</f>
        <v>45969.625</v>
      </c>
      <c r="AN16" s="413"/>
      <c r="AO16" s="413" t="s">
        <v>12</v>
      </c>
      <c r="AP16" s="413" t="s">
        <v>93</v>
      </c>
      <c r="AQ16" s="427" t="str">
        <f>IF(ISBLANK(fixtures!$K103),"",fixtures!$K103)</f>
        <v/>
      </c>
      <c r="AR16" s="413" t="str">
        <f>IF(ISBLANK(fixtures!$L103),"",":")</f>
        <v/>
      </c>
      <c r="AS16" s="428" t="str">
        <f>IF(ISBLANK(fixtures!$L103),"",fixtures!$L103)</f>
        <v/>
      </c>
      <c r="AT16" s="413" t="str">
        <f>IF(ISBLANK(fixtures!$L103),"",IF(AQ16&gt;AS16,"W",IF(AQ16=AS16,"D","L")))</f>
        <v/>
      </c>
      <c r="AU16" s="413"/>
      <c r="AV16" s="413"/>
      <c r="AW16" s="71">
        <v>8</v>
      </c>
      <c r="AX16" s="9" t="s">
        <v>218</v>
      </c>
      <c r="AY16" s="219">
        <f ca="1">IFERROR(INDIRECT("fixtures!" &amp; Dashboard!J1 &amp;105) - Dashboard!K1/24,"TBC")</f>
        <v>45969.625</v>
      </c>
      <c r="AZ16" s="9"/>
      <c r="BA16" s="9" t="s">
        <v>7</v>
      </c>
      <c r="BB16" s="9" t="s">
        <v>92</v>
      </c>
      <c r="BC16" s="71" t="str">
        <f>IF(ISBLANK(fixtures!$L105),"",fixtures!$L105)</f>
        <v/>
      </c>
      <c r="BD16" s="9" t="str">
        <f>IF(ISBLANK(fixtures!$L105),"",":")</f>
        <v/>
      </c>
      <c r="BE16" s="73" t="str">
        <f>IF(ISBLANK(fixtures!$K105),"",fixtures!$K105)</f>
        <v/>
      </c>
      <c r="BF16" s="9" t="str">
        <f>IF(ISBLANK(fixtures!$L105),"",IF(BC16&gt;BE16,"W",IF(BC16=BE16,"D","L")))</f>
        <v/>
      </c>
      <c r="BG16" s="9"/>
      <c r="BH16" s="9"/>
      <c r="BI16" s="436">
        <v>8</v>
      </c>
      <c r="BJ16" s="414" t="s">
        <v>218</v>
      </c>
      <c r="BK16" s="438">
        <f ca="1">IFERROR(INDIRECT("fixtures!" &amp; Dashboard!J1 &amp;111) - Dashboard!K1/24,"TBC")</f>
        <v>45969.625</v>
      </c>
      <c r="BL16" s="414"/>
      <c r="BM16" s="414" t="s">
        <v>14</v>
      </c>
      <c r="BN16" s="414" t="s">
        <v>92</v>
      </c>
      <c r="BO16" s="436" t="str">
        <f>IF(ISBLANK(fixtures!$L111),"",fixtures!$L111)</f>
        <v/>
      </c>
      <c r="BP16" s="414" t="str">
        <f>IF(ISBLANK(fixtures!$L111),"",":")</f>
        <v/>
      </c>
      <c r="BQ16" s="437" t="str">
        <f>IF(ISBLANK(fixtures!$K111),"",fixtures!$K111)</f>
        <v/>
      </c>
      <c r="BR16" s="414" t="str">
        <f>IF(ISBLANK(fixtures!$L111),"",IF(BO16&gt;BQ16,"W",IF(BO16=BQ16,"D","L")))</f>
        <v/>
      </c>
      <c r="BS16" s="414"/>
      <c r="BT16" s="414"/>
      <c r="BU16" s="146">
        <v>8</v>
      </c>
      <c r="BV16" s="13" t="s">
        <v>218</v>
      </c>
      <c r="BW16" s="225">
        <f ca="1">IFERROR(INDIRECT("fixtures!" &amp; Dashboard!J1 &amp;104) - Dashboard!K1/24,"TBC")</f>
        <v>45969.625</v>
      </c>
      <c r="BX16" s="13"/>
      <c r="BY16" s="13" t="s">
        <v>15</v>
      </c>
      <c r="BZ16" s="13" t="s">
        <v>93</v>
      </c>
      <c r="CA16" s="146" t="str">
        <f>IF(ISBLANK(fixtures!$K104),"",fixtures!$K104)</f>
        <v/>
      </c>
      <c r="CB16" s="13" t="str">
        <f>IF(ISBLANK(fixtures!$L104),"",":")</f>
        <v/>
      </c>
      <c r="CC16" s="148" t="str">
        <f>IF(ISBLANK(fixtures!$L104),"",fixtures!$L104)</f>
        <v/>
      </c>
      <c r="CD16" s="13" t="str">
        <f>IF(ISBLANK(fixtures!$L104),"",IF(CA16&gt;CC16,"W",IF(CA16=CC16,"D","L")))</f>
        <v/>
      </c>
      <c r="CE16" s="13"/>
      <c r="CF16" s="13"/>
      <c r="CG16" s="394">
        <v>8</v>
      </c>
      <c r="CH16" s="14" t="s">
        <v>218</v>
      </c>
      <c r="CI16" s="396">
        <f ca="1">IFERROR(INDIRECT("fixtures!" &amp; Dashboard!J1 &amp;105) - Dashboard!K1/24,"TBC")</f>
        <v>45969.625</v>
      </c>
      <c r="CJ16" s="14"/>
      <c r="CK16" s="14" t="s">
        <v>4</v>
      </c>
      <c r="CL16" s="14" t="s">
        <v>93</v>
      </c>
      <c r="CM16" s="394" t="str">
        <f>IF(ISBLANK(fixtures!$K105),"",fixtures!$K105)</f>
        <v/>
      </c>
      <c r="CN16" s="14" t="str">
        <f>IF(ISBLANK(fixtures!$L105),"",":")</f>
        <v/>
      </c>
      <c r="CO16" s="395" t="str">
        <f>IF(ISBLANK(fixtures!$L105),"",fixtures!$L105)</f>
        <v/>
      </c>
      <c r="CP16" s="14" t="str">
        <f>IF(ISBLANK(fixtures!$L105),"",IF(CM16&gt;CO16,"W",IF(CM16=CO16,"D","L")))</f>
        <v/>
      </c>
      <c r="CQ16" s="14"/>
      <c r="CR16" s="14"/>
      <c r="CS16" s="231">
        <v>8</v>
      </c>
      <c r="CT16" s="17" t="s">
        <v>218</v>
      </c>
      <c r="CU16" s="233">
        <f ca="1">IFERROR(INDIRECT("fixtures!" &amp; Dashboard!J1 &amp;106) - Dashboard!K1/24,"TBC")</f>
        <v>45969.625</v>
      </c>
      <c r="CV16" s="17"/>
      <c r="CW16" s="17" t="s">
        <v>108</v>
      </c>
      <c r="CX16" s="17" t="s">
        <v>93</v>
      </c>
      <c r="CY16" s="231" t="str">
        <f>IF(ISBLANK(fixtures!$K106),"",fixtures!$K106)</f>
        <v/>
      </c>
      <c r="CZ16" s="17" t="str">
        <f>IF(ISBLANK(fixtures!$L106),"",":")</f>
        <v/>
      </c>
      <c r="DA16" s="232" t="str">
        <f>IF(ISBLANK(fixtures!$L106),"",fixtures!$L106)</f>
        <v/>
      </c>
      <c r="DB16" s="17" t="str">
        <f>IF(ISBLANK(fixtures!$L106),"",IF(CY16&gt;DA16,"W",IF(CY16=DA16,"D","L")))</f>
        <v/>
      </c>
      <c r="DC16" s="17"/>
      <c r="DD16" s="17"/>
      <c r="DE16" s="444">
        <v>8</v>
      </c>
      <c r="DF16" s="143" t="s">
        <v>218</v>
      </c>
      <c r="DG16" s="446">
        <f ca="1">IFERROR(INDIRECT("fixtures!" &amp; Dashboard!J1 &amp;106) - Dashboard!K1/24,"TBC")</f>
        <v>45969.625</v>
      </c>
      <c r="DH16" s="143"/>
      <c r="DI16" s="143" t="s">
        <v>8</v>
      </c>
      <c r="DJ16" s="143" t="s">
        <v>92</v>
      </c>
      <c r="DK16" s="444" t="str">
        <f>IF(ISBLANK(fixtures!$L106),"",fixtures!$L106)</f>
        <v/>
      </c>
      <c r="DL16" s="143" t="str">
        <f>IF(ISBLANK(fixtures!$L106),"",":")</f>
        <v/>
      </c>
      <c r="DM16" s="445" t="str">
        <f>IF(ISBLANK(fixtures!$K106),"",fixtures!$K106)</f>
        <v/>
      </c>
      <c r="DN16" s="143" t="str">
        <f>IF(ISBLANK(fixtures!$L106),"",IF(DK16&gt;DM16,"W",IF(DK16=DM16,"D","L")))</f>
        <v/>
      </c>
      <c r="DO16" s="143"/>
      <c r="DP16" s="143"/>
      <c r="DQ16" s="382">
        <v>8</v>
      </c>
      <c r="DR16" s="380" t="s">
        <v>218</v>
      </c>
      <c r="DS16" s="384">
        <f ca="1">IFERROR(INDIRECT("fixtures!" &amp; Dashboard!J1 &amp;108) - Dashboard!K1/24,"TBC")</f>
        <v>45969.625</v>
      </c>
      <c r="DT16" s="380"/>
      <c r="DU16" s="380" t="s">
        <v>188</v>
      </c>
      <c r="DV16" s="380" t="s">
        <v>92</v>
      </c>
      <c r="DW16" s="382" t="str">
        <f>IF(ISBLANK(fixtures!$L108),"",fixtures!$L108)</f>
        <v/>
      </c>
      <c r="DX16" s="380" t="str">
        <f>IF(ISBLANK(fixtures!$L108),"",":")</f>
        <v/>
      </c>
      <c r="DY16" s="383" t="str">
        <f>IF(ISBLANK(fixtures!$K108),"",fixtures!$K108)</f>
        <v/>
      </c>
      <c r="DZ16" s="380" t="str">
        <f>IF(ISBLANK(fixtures!$L108),"",IF(DW16&gt;DY16,"W",IF(DW16=DY16,"D","L")))</f>
        <v/>
      </c>
      <c r="EA16" s="380"/>
      <c r="EB16" s="380"/>
      <c r="EC16" s="207">
        <v>8</v>
      </c>
      <c r="ED16" s="19" t="s">
        <v>218</v>
      </c>
      <c r="EE16" s="239">
        <f ca="1">IFERROR(INDIRECT("fixtures!" &amp; Dashboard!J1 &amp;107) - Dashboard!K1/24,"TBC")</f>
        <v>45969.625</v>
      </c>
      <c r="EF16" s="19"/>
      <c r="EG16" s="19" t="s">
        <v>10</v>
      </c>
      <c r="EH16" s="19" t="s">
        <v>92</v>
      </c>
      <c r="EI16" s="207" t="str">
        <f>IF(ISBLANK(fixtures!$L107),"",fixtures!$L107)</f>
        <v/>
      </c>
      <c r="EJ16" s="19" t="str">
        <f>IF(ISBLANK(fixtures!$L107),"",":")</f>
        <v/>
      </c>
      <c r="EK16" s="209" t="str">
        <f>IF(ISBLANK(fixtures!$K107),"",fixtures!$K107)</f>
        <v/>
      </c>
      <c r="EL16" s="19" t="str">
        <f>IF(ISBLANK(fixtures!$L107),"",IF(EI16&gt;EK16,"W",IF(EI16=EK16,"D","L")))</f>
        <v/>
      </c>
      <c r="EM16" s="19"/>
      <c r="EN16" s="19"/>
      <c r="EO16" s="80">
        <v>8</v>
      </c>
      <c r="EP16" s="21" t="s">
        <v>218</v>
      </c>
      <c r="EQ16" s="245">
        <f ca="1">IFERROR(INDIRECT("fixtures!" &amp; Dashboard!J1 &amp;107) - Dashboard!K1/24,"TBC")</f>
        <v>45969.625</v>
      </c>
      <c r="ER16" s="21"/>
      <c r="ES16" s="21" t="s">
        <v>9</v>
      </c>
      <c r="ET16" s="21" t="s">
        <v>93</v>
      </c>
      <c r="EU16" s="80" t="str">
        <f>IF(ISBLANK(fixtures!$K107),"",fixtures!$K107)</f>
        <v/>
      </c>
      <c r="EV16" s="21" t="str">
        <f>IF(ISBLANK(fixtures!$L107),"",":")</f>
        <v/>
      </c>
      <c r="EW16" s="82" t="str">
        <f>IF(ISBLANK(fixtures!$L107),"",fixtures!$L107)</f>
        <v/>
      </c>
      <c r="EX16" s="21" t="str">
        <f>IF(ISBLANK(fixtures!$L107),"",IF(EU16&gt;EW16,"W",IF(EU16=EW16,"D","L")))</f>
        <v/>
      </c>
      <c r="EY16" s="21"/>
      <c r="EZ16" s="21"/>
      <c r="FA16" s="251">
        <v>8</v>
      </c>
      <c r="FB16" s="23" t="s">
        <v>218</v>
      </c>
      <c r="FC16" s="253">
        <f ca="1">IFERROR(INDIRECT("fixtures!" &amp; Dashboard!J1 &amp;109) - Dashboard!K1/24,"TBC")</f>
        <v>45969.625</v>
      </c>
      <c r="FD16" s="23"/>
      <c r="FE16" s="23" t="s">
        <v>13</v>
      </c>
      <c r="FF16" s="23" t="s">
        <v>92</v>
      </c>
      <c r="FG16" s="251" t="str">
        <f>IF(ISBLANK(fixtures!$L109),"",fixtures!$L109)</f>
        <v/>
      </c>
      <c r="FH16" s="23" t="str">
        <f>IF(ISBLANK(fixtures!$L109),"",":")</f>
        <v/>
      </c>
      <c r="FI16" s="252" t="str">
        <f>IF(ISBLANK(fixtures!$K109),"",fixtures!$K109)</f>
        <v/>
      </c>
      <c r="FJ16" s="23" t="str">
        <f>IF(ISBLANK(fixtures!$L109),"",IF(FG16&gt;FI16,"W",IF(FG16=FI16,"D","L")))</f>
        <v/>
      </c>
      <c r="FK16" s="23"/>
      <c r="FL16" s="23"/>
      <c r="FM16" s="85">
        <v>8</v>
      </c>
      <c r="FN16" s="25" t="s">
        <v>218</v>
      </c>
      <c r="FO16" s="259">
        <f ca="1">IFERROR(INDIRECT("fixtures!" &amp; Dashboard!J1 &amp;103) - Dashboard!K1/24,"TBC")</f>
        <v>45969.625</v>
      </c>
      <c r="FP16" s="25"/>
      <c r="FQ16" s="25" t="s">
        <v>107</v>
      </c>
      <c r="FR16" s="25" t="s">
        <v>92</v>
      </c>
      <c r="FS16" s="85" t="str">
        <f>IF(ISBLANK(fixtures!$L103),"",fixtures!$L103)</f>
        <v/>
      </c>
      <c r="FT16" s="25" t="str">
        <f>IF(ISBLANK(fixtures!$L103),"",":")</f>
        <v/>
      </c>
      <c r="FU16" s="87" t="str">
        <f>IF(ISBLANK(fixtures!$K103),"",fixtures!$K103)</f>
        <v/>
      </c>
      <c r="FV16" s="25" t="str">
        <f>IF(ISBLANK(fixtures!$L103),"",IF(FS16&gt;FU16,"W",IF(FS16=FU16,"D","L")))</f>
        <v/>
      </c>
      <c r="FW16" s="25"/>
      <c r="FX16" s="25"/>
      <c r="FY16" s="402">
        <v>8</v>
      </c>
      <c r="FZ16" s="390" t="s">
        <v>218</v>
      </c>
      <c r="GA16" s="404">
        <f ca="1">IFERROR(INDIRECT("fixtures!" &amp; Dashboard!J1 &amp;108) - Dashboard!K1/24,"TBC")</f>
        <v>45969.625</v>
      </c>
      <c r="GB16" s="390"/>
      <c r="GC16" s="390" t="s">
        <v>444</v>
      </c>
      <c r="GD16" s="390" t="s">
        <v>93</v>
      </c>
      <c r="GE16" s="402" t="str">
        <f>IF(ISBLANK(fixtures!$K108),"",fixtures!$K108)</f>
        <v/>
      </c>
      <c r="GF16" s="390" t="str">
        <f>IF(ISBLANK(fixtures!$L108),"",":")</f>
        <v/>
      </c>
      <c r="GG16" s="403" t="str">
        <f>IF(ISBLANK(fixtures!$L108),"",fixtures!$L108)</f>
        <v/>
      </c>
      <c r="GH16" s="390" t="str">
        <f>IF(ISBLANK(fixtures!$L108),"",IF(GE16&gt;GG16,"W",IF(GE16=GG16,"D","L")))</f>
        <v/>
      </c>
      <c r="GI16" s="390"/>
      <c r="GJ16" s="390"/>
      <c r="GK16" s="89">
        <v>8</v>
      </c>
      <c r="GL16" s="27" t="s">
        <v>218</v>
      </c>
      <c r="GM16" s="266">
        <f ca="1">IFERROR(INDIRECT("fixtures!" &amp; Dashboard!J1 &amp;109) - Dashboard!K1/24,"TBC")</f>
        <v>45969.625</v>
      </c>
      <c r="GN16" s="27"/>
      <c r="GO16" s="27" t="s">
        <v>11</v>
      </c>
      <c r="GP16" s="27" t="s">
        <v>93</v>
      </c>
      <c r="GQ16" s="89" t="str">
        <f>IF(ISBLANK(fixtures!$K109),"",fixtures!$K109)</f>
        <v/>
      </c>
      <c r="GR16" s="27" t="str">
        <f>IF(ISBLANK(fixtures!$L109),"",":")</f>
        <v/>
      </c>
      <c r="GS16" s="90" t="str">
        <f>IF(ISBLANK(fixtures!$L109),"",fixtures!$L109)</f>
        <v/>
      </c>
      <c r="GT16" s="27" t="str">
        <f>IF(ISBLANK(fixtures!$L109),"",IF(GQ16&gt;GS16,"W",IF(GQ16=GS16,"D","L")))</f>
        <v/>
      </c>
      <c r="GU16" s="27"/>
      <c r="GV16" s="27"/>
      <c r="GW16" s="382">
        <v>8</v>
      </c>
      <c r="GX16" s="380" t="s">
        <v>218</v>
      </c>
      <c r="GY16" s="384">
        <f ca="1">IFERROR(INDIRECT("fixtures!" &amp; Dashboard!J1 &amp;110) - Dashboard!K1/24,"TBC")</f>
        <v>45969.625</v>
      </c>
      <c r="GZ16" s="380"/>
      <c r="HA16" s="380" t="s">
        <v>1</v>
      </c>
      <c r="HB16" s="380" t="s">
        <v>93</v>
      </c>
      <c r="HC16" s="382" t="str">
        <f>IF(ISBLANK(fixtures!$K110),"",fixtures!$K110)</f>
        <v/>
      </c>
      <c r="HD16" s="380" t="str">
        <f>IF(ISBLANK(fixtures!$L110),"",":")</f>
        <v/>
      </c>
      <c r="HE16" s="383" t="str">
        <f>IF(ISBLANK(fixtures!$L110),"",fixtures!$L110)</f>
        <v/>
      </c>
      <c r="HF16" s="380" t="str">
        <f>IF(ISBLANK(fixtures!$L110),"",IF(HC16&gt;HE16,"W",IF(HC16=HE16,"D","L")))</f>
        <v/>
      </c>
      <c r="HG16" s="380"/>
      <c r="HH16" s="380"/>
      <c r="HI16" s="92">
        <v>8</v>
      </c>
      <c r="HJ16" s="29" t="s">
        <v>218</v>
      </c>
      <c r="HK16" s="272">
        <f ca="1">IFERROR(INDIRECT("fixtures!" &amp; Dashboard!J1 &amp;111) - Dashboard!K1/24,"TBC")</f>
        <v>45969.625</v>
      </c>
      <c r="HL16" s="29"/>
      <c r="HM16" s="29" t="s">
        <v>5</v>
      </c>
      <c r="HN16" s="29" t="s">
        <v>93</v>
      </c>
      <c r="HO16" s="92" t="str">
        <f>IF(ISBLANK(fixtures!$K111),"",fixtures!$K111)</f>
        <v/>
      </c>
      <c r="HP16" s="29" t="str">
        <f>IF(ISBLANK(fixtures!$L111),"",":")</f>
        <v/>
      </c>
      <c r="HQ16" s="94" t="str">
        <f>IF(ISBLANK(fixtures!$L111),"",fixtures!$L111)</f>
        <v/>
      </c>
      <c r="HR16" s="29" t="str">
        <f>IF(ISBLANK(fixtures!$L111),"",IF(HO16&gt;HQ16,"W",IF(HO16=HQ16,"D","L")))</f>
        <v/>
      </c>
      <c r="HS16" s="29"/>
      <c r="HT16" s="29"/>
      <c r="HU16" s="97">
        <v>8</v>
      </c>
      <c r="HV16" s="31" t="s">
        <v>218</v>
      </c>
      <c r="HW16" s="278">
        <f ca="1">IFERROR(INDIRECT("fixtures!" &amp; Dashboard!J1 &amp;104) - Dashboard!K1/24,"TBC")</f>
        <v>45969.625</v>
      </c>
      <c r="HX16" s="31"/>
      <c r="HY16" s="31" t="s">
        <v>6</v>
      </c>
      <c r="HZ16" s="31" t="s">
        <v>92</v>
      </c>
      <c r="IA16" s="97" t="str">
        <f>IF(ISBLANK(fixtures!$L104),"",fixtures!$L104)</f>
        <v/>
      </c>
      <c r="IB16" s="31" t="str">
        <f>IF(ISBLANK(fixtures!$L104),"",":")</f>
        <v/>
      </c>
      <c r="IC16" s="99" t="str">
        <f>IF(ISBLANK(fixtures!$K104),"",fixtures!$K104)</f>
        <v/>
      </c>
      <c r="ID16" s="31" t="str">
        <f>IF(ISBLANK(fixtures!$L104),"",IF(IA16&gt;IC16,"W",IF(IA16=IC16,"D","L")))</f>
        <v/>
      </c>
      <c r="IE16" s="31"/>
      <c r="IF16" s="31"/>
    </row>
    <row r="17" spans="1:243">
      <c r="A17" s="66">
        <v>22</v>
      </c>
      <c r="B17" s="68" t="s">
        <v>218</v>
      </c>
      <c r="C17" s="214">
        <f ca="1">IFERROR(INDIRECT("fixtures!" &amp; Dashboard!J1 &amp;112) - Dashboard!K1/24,"TBC")</f>
        <v>45983.625</v>
      </c>
      <c r="D17" s="6"/>
      <c r="E17" s="6" t="s">
        <v>13</v>
      </c>
      <c r="F17" s="6" t="s">
        <v>93</v>
      </c>
      <c r="G17" s="66" t="str">
        <f>IF(ISBLANK(fixtures!$K112),"",fixtures!$K112)</f>
        <v/>
      </c>
      <c r="H17" s="6" t="str">
        <f>IF(ISBLANK(fixtures!$L112),"",":")</f>
        <v/>
      </c>
      <c r="I17" s="68" t="str">
        <f>IF(ISBLANK(fixtures!$L112),"",fixtures!$L112)</f>
        <v/>
      </c>
      <c r="J17" s="6" t="str">
        <f>IF(ISBLANK(fixtures!$L112),"",IF(G17&gt;I17,"W",IF(G17=I17,"D","L")))</f>
        <v/>
      </c>
      <c r="K17" s="6"/>
      <c r="L17" s="6"/>
      <c r="M17" s="382">
        <v>22</v>
      </c>
      <c r="N17" s="380" t="s">
        <v>218</v>
      </c>
      <c r="O17" s="384">
        <f ca="1">IFERROR(INDIRECT("fixtures!" &amp; Dashboard!J1 &amp;117) - Dashboard!K1/24,"TBC")</f>
        <v>45983.625</v>
      </c>
      <c r="P17" s="380"/>
      <c r="Q17" s="380" t="s">
        <v>444</v>
      </c>
      <c r="R17" s="380" t="s">
        <v>92</v>
      </c>
      <c r="S17" s="382" t="str">
        <f>IF(ISBLANK(fixtures!$L117),"",fixtures!$L117)</f>
        <v/>
      </c>
      <c r="T17" s="380" t="str">
        <f>IF(ISBLANK(fixtures!$L117),"",":")</f>
        <v/>
      </c>
      <c r="U17" s="383" t="str">
        <f>IF(ISBLANK(fixtures!$K117),"",fixtures!$K117)</f>
        <v/>
      </c>
      <c r="V17" s="380" t="str">
        <f>IF(ISBLANK(fixtures!$L117),"",IF(S17&gt;U17,"W",IF(S17=U17,"D","L")))</f>
        <v/>
      </c>
      <c r="W17" s="380"/>
      <c r="X17" s="380"/>
      <c r="Y17" s="418">
        <v>22</v>
      </c>
      <c r="Z17" s="412" t="s">
        <v>218</v>
      </c>
      <c r="AA17" s="420">
        <f ca="1">IFERROR(INDIRECT("fixtures!" &amp; Dashboard!J1 &amp;113) - Dashboard!K1/24,"TBC")</f>
        <v>45983.625</v>
      </c>
      <c r="AB17" s="412"/>
      <c r="AC17" s="412" t="s">
        <v>14</v>
      </c>
      <c r="AD17" s="412" t="s">
        <v>93</v>
      </c>
      <c r="AE17" s="418" t="str">
        <f>IF(ISBLANK(fixtures!$K113),"",fixtures!$K113)</f>
        <v/>
      </c>
      <c r="AF17" s="412" t="str">
        <f>IF(ISBLANK(fixtures!$L113),"",":")</f>
        <v/>
      </c>
      <c r="AG17" s="419" t="str">
        <f>IF(ISBLANK(fixtures!$L113),"",fixtures!$L113)</f>
        <v/>
      </c>
      <c r="AH17" s="412" t="str">
        <f>IF(ISBLANK(fixtures!$L113),"",IF(AE17&gt;AG17,"W",IF(AE17=AG17,"D","L")))</f>
        <v/>
      </c>
      <c r="AI17" s="412"/>
      <c r="AJ17" s="412"/>
      <c r="AK17" s="427">
        <v>22</v>
      </c>
      <c r="AL17" s="413" t="s">
        <v>218</v>
      </c>
      <c r="AM17" s="429">
        <f ca="1">IFERROR(INDIRECT("fixtures!" &amp; Dashboard!J1 &amp;114) - Dashboard!K1/24,"TBC")</f>
        <v>45983.625</v>
      </c>
      <c r="AN17" s="413"/>
      <c r="AO17" s="413" t="s">
        <v>4</v>
      </c>
      <c r="AP17" s="413" t="s">
        <v>92</v>
      </c>
      <c r="AQ17" s="427" t="str">
        <f>IF(ISBLANK(fixtures!$L114),"",fixtures!$L114)</f>
        <v/>
      </c>
      <c r="AR17" s="413" t="str">
        <f>IF(ISBLANK(fixtures!$L114),"",":")</f>
        <v/>
      </c>
      <c r="AS17" s="428" t="str">
        <f>IF(ISBLANK(fixtures!$K114),"",fixtures!$K114)</f>
        <v/>
      </c>
      <c r="AT17" s="413" t="str">
        <f>IF(ISBLANK(fixtures!$L114),"",IF(AQ17&gt;AS17,"W",IF(AQ17=AS17,"D","L")))</f>
        <v/>
      </c>
      <c r="AU17" s="413"/>
      <c r="AV17" s="413"/>
      <c r="AW17" s="71">
        <v>22</v>
      </c>
      <c r="AX17" s="9" t="s">
        <v>218</v>
      </c>
      <c r="AY17" s="219">
        <f ca="1">IFERROR(INDIRECT("fixtures!" &amp; Dashboard!J1 &amp;114) - Dashboard!K1/24,"TBC")</f>
        <v>45983.625</v>
      </c>
      <c r="AZ17" s="9"/>
      <c r="BA17" s="9" t="s">
        <v>107</v>
      </c>
      <c r="BB17" s="9" t="s">
        <v>93</v>
      </c>
      <c r="BC17" s="71" t="str">
        <f>IF(ISBLANK(fixtures!$K114),"",fixtures!$K114)</f>
        <v/>
      </c>
      <c r="BD17" s="9" t="str">
        <f>IF(ISBLANK(fixtures!$L114),"",":")</f>
        <v/>
      </c>
      <c r="BE17" s="73" t="str">
        <f>IF(ISBLANK(fixtures!$L114),"",fixtures!$L114)</f>
        <v/>
      </c>
      <c r="BF17" s="9" t="str">
        <f>IF(ISBLANK(fixtures!$L114),"",IF(BC17&gt;BE17,"W",IF(BC17=BE17,"D","L")))</f>
        <v/>
      </c>
      <c r="BG17" s="9"/>
      <c r="BH17" s="9"/>
      <c r="BI17" s="436">
        <v>22</v>
      </c>
      <c r="BJ17" s="414" t="s">
        <v>218</v>
      </c>
      <c r="BK17" s="438">
        <f ca="1">IFERROR(INDIRECT("fixtures!" &amp; Dashboard!J1 &amp;115) - Dashboard!K1/24,"TBC")</f>
        <v>45983.625</v>
      </c>
      <c r="BL17" s="414"/>
      <c r="BM17" s="414" t="s">
        <v>6</v>
      </c>
      <c r="BN17" s="414" t="s">
        <v>93</v>
      </c>
      <c r="BO17" s="436" t="str">
        <f>IF(ISBLANK(fixtures!$K115),"",fixtures!$K115)</f>
        <v/>
      </c>
      <c r="BP17" s="414" t="str">
        <f>IF(ISBLANK(fixtures!$L115),"",":")</f>
        <v/>
      </c>
      <c r="BQ17" s="437" t="str">
        <f>IF(ISBLANK(fixtures!$L115),"",fixtures!$L115)</f>
        <v/>
      </c>
      <c r="BR17" s="414" t="str">
        <f>IF(ISBLANK(fixtures!$L115),"",IF(BO17&gt;BQ17,"W",IF(BO17=BQ17,"D","L")))</f>
        <v/>
      </c>
      <c r="BS17" s="414"/>
      <c r="BT17" s="414"/>
      <c r="BU17" s="146">
        <v>22</v>
      </c>
      <c r="BV17" s="13" t="s">
        <v>218</v>
      </c>
      <c r="BW17" s="225">
        <f ca="1">IFERROR(INDIRECT("fixtures!" &amp; Dashboard!J1 &amp;115) - Dashboard!K1/24,"TBC")</f>
        <v>45983.625</v>
      </c>
      <c r="BX17" s="13"/>
      <c r="BY17" s="13" t="s">
        <v>5</v>
      </c>
      <c r="BZ17" s="13" t="s">
        <v>92</v>
      </c>
      <c r="CA17" s="146" t="str">
        <f>IF(ISBLANK(fixtures!$L115),"",fixtures!$L115)</f>
        <v/>
      </c>
      <c r="CB17" s="13" t="str">
        <f>IF(ISBLANK(fixtures!$L115),"",":")</f>
        <v/>
      </c>
      <c r="CC17" s="148" t="str">
        <f>IF(ISBLANK(fixtures!$K115),"",fixtures!$K115)</f>
        <v/>
      </c>
      <c r="CD17" s="13" t="str">
        <f>IF(ISBLANK(fixtures!$L115),"",IF(CA17&gt;CC17,"W",IF(CA17=CC17,"D","L")))</f>
        <v/>
      </c>
      <c r="CE17" s="13"/>
      <c r="CF17" s="13"/>
      <c r="CG17" s="394">
        <v>22</v>
      </c>
      <c r="CH17" s="14" t="s">
        <v>218</v>
      </c>
      <c r="CI17" s="396">
        <f ca="1">IFERROR(INDIRECT("fixtures!" &amp; Dashboard!J1 &amp;121) - Dashboard!K1/24,"TBC")</f>
        <v>45983.625</v>
      </c>
      <c r="CJ17" s="14"/>
      <c r="CK17" s="14" t="s">
        <v>15</v>
      </c>
      <c r="CL17" s="14" t="s">
        <v>92</v>
      </c>
      <c r="CM17" s="394" t="str">
        <f>IF(ISBLANK(fixtures!$L121),"",fixtures!$L121)</f>
        <v/>
      </c>
      <c r="CN17" s="14" t="str">
        <f>IF(ISBLANK(fixtures!$L121),"",":")</f>
        <v/>
      </c>
      <c r="CO17" s="395" t="str">
        <f>IF(ISBLANK(fixtures!$K121),"",fixtures!$K121)</f>
        <v/>
      </c>
      <c r="CP17" s="14" t="str">
        <f>IF(ISBLANK(fixtures!$L121),"",IF(CM17&gt;CO17,"W",IF(CM17=CO17,"D","L")))</f>
        <v/>
      </c>
      <c r="CQ17" s="14"/>
      <c r="CR17" s="14"/>
      <c r="CS17" s="231">
        <v>22</v>
      </c>
      <c r="CT17" s="17" t="s">
        <v>218</v>
      </c>
      <c r="CU17" s="233">
        <f ca="1">IFERROR(INDIRECT("fixtures!" &amp; Dashboard!J1 &amp;119) - Dashboard!K1/24,"TBC")</f>
        <v>45983.625</v>
      </c>
      <c r="CV17" s="17"/>
      <c r="CW17" s="17" t="s">
        <v>11</v>
      </c>
      <c r="CX17" s="17" t="s">
        <v>92</v>
      </c>
      <c r="CY17" s="231" t="str">
        <f>IF(ISBLANK(fixtures!$L119),"",fixtures!$L119)</f>
        <v/>
      </c>
      <c r="CZ17" s="17" t="str">
        <f>IF(ISBLANK(fixtures!$L119),"",":")</f>
        <v/>
      </c>
      <c r="DA17" s="232" t="str">
        <f>IF(ISBLANK(fixtures!$K119),"",fixtures!$K119)</f>
        <v/>
      </c>
      <c r="DB17" s="17" t="str">
        <f>IF(ISBLANK(fixtures!$L119),"",IF(CY17&gt;DA17,"W",IF(CY17=DA17,"D","L")))</f>
        <v/>
      </c>
      <c r="DC17" s="17"/>
      <c r="DD17" s="17"/>
      <c r="DE17" s="444">
        <v>22</v>
      </c>
      <c r="DF17" s="143" t="s">
        <v>218</v>
      </c>
      <c r="DG17" s="446">
        <f ca="1">IFERROR(INDIRECT("fixtures!" &amp; Dashboard!J1 &amp;116) - Dashboard!K1/24,"TBC")</f>
        <v>45983.625</v>
      </c>
      <c r="DH17" s="143"/>
      <c r="DI17" s="143" t="s">
        <v>443</v>
      </c>
      <c r="DJ17" s="143" t="s">
        <v>93</v>
      </c>
      <c r="DK17" s="444" t="str">
        <f>IF(ISBLANK(fixtures!$K116),"",fixtures!$K116)</f>
        <v/>
      </c>
      <c r="DL17" s="143" t="str">
        <f>IF(ISBLANK(fixtures!$L116),"",":")</f>
        <v/>
      </c>
      <c r="DM17" s="445" t="str">
        <f>IF(ISBLANK(fixtures!$L116),"",fixtures!$L116)</f>
        <v/>
      </c>
      <c r="DN17" s="143" t="str">
        <f>IF(ISBLANK(fixtures!$L116),"",IF(DK17&gt;DM17,"W",IF(DK17=DM17,"D","L")))</f>
        <v/>
      </c>
      <c r="DO17" s="143"/>
      <c r="DP17" s="143"/>
      <c r="DQ17" s="382">
        <v>22</v>
      </c>
      <c r="DR17" s="380" t="s">
        <v>218</v>
      </c>
      <c r="DS17" s="384">
        <f ca="1">IFERROR(INDIRECT("fixtures!" &amp; Dashboard!J1 &amp;117) - Dashboard!K1/24,"TBC")</f>
        <v>45983.625</v>
      </c>
      <c r="DT17" s="380"/>
      <c r="DU17" s="380" t="s">
        <v>2</v>
      </c>
      <c r="DV17" s="380" t="s">
        <v>93</v>
      </c>
      <c r="DW17" s="382" t="str">
        <f>IF(ISBLANK(fixtures!$K117),"",fixtures!$K117)</f>
        <v/>
      </c>
      <c r="DX17" s="380" t="str">
        <f>IF(ISBLANK(fixtures!$L117),"",":")</f>
        <v/>
      </c>
      <c r="DY17" s="383" t="str">
        <f>IF(ISBLANK(fixtures!$L117),"",fixtures!$L117)</f>
        <v/>
      </c>
      <c r="DZ17" s="380" t="str">
        <f>IF(ISBLANK(fixtures!$L117),"",IF(DW17&gt;DY17,"W",IF(DW17=DY17,"D","L")))</f>
        <v/>
      </c>
      <c r="EA17" s="380"/>
      <c r="EB17" s="380"/>
      <c r="EC17" s="207">
        <v>22</v>
      </c>
      <c r="ED17" s="19" t="s">
        <v>218</v>
      </c>
      <c r="EE17" s="239">
        <f ca="1">IFERROR(INDIRECT("fixtures!" &amp; Dashboard!J1 &amp;118) - Dashboard!K1/24,"TBC")</f>
        <v>45983.625</v>
      </c>
      <c r="EF17" s="19"/>
      <c r="EG17" s="19" t="s">
        <v>188</v>
      </c>
      <c r="EH17" s="19" t="s">
        <v>93</v>
      </c>
      <c r="EI17" s="207" t="str">
        <f>IF(ISBLANK(fixtures!$K118),"",fixtures!$K118)</f>
        <v/>
      </c>
      <c r="EJ17" s="19" t="str">
        <f>IF(ISBLANK(fixtures!$L118),"",":")</f>
        <v/>
      </c>
      <c r="EK17" s="209" t="str">
        <f>IF(ISBLANK(fixtures!$L118),"",fixtures!$L118)</f>
        <v/>
      </c>
      <c r="EL17" s="19" t="str">
        <f>IF(ISBLANK(fixtures!$L118),"",IF(EI17&gt;EK17,"W",IF(EI17=EK17,"D","L")))</f>
        <v/>
      </c>
      <c r="EM17" s="19"/>
      <c r="EN17" s="19"/>
      <c r="EO17" s="80">
        <v>22</v>
      </c>
      <c r="EP17" s="21" t="s">
        <v>218</v>
      </c>
      <c r="EQ17" s="245">
        <f ca="1">IFERROR(INDIRECT("fixtures!" &amp; Dashboard!J1 &amp;120) - Dashboard!K1/24,"TBC")</f>
        <v>45983.625</v>
      </c>
      <c r="ER17" s="21"/>
      <c r="ES17" s="21" t="s">
        <v>12</v>
      </c>
      <c r="ET17" s="21" t="s">
        <v>92</v>
      </c>
      <c r="EU17" s="80" t="str">
        <f>IF(ISBLANK(fixtures!$L120),"",fixtures!$L120)</f>
        <v/>
      </c>
      <c r="EV17" s="21" t="str">
        <f>IF(ISBLANK(fixtures!$L120),"",":")</f>
        <v/>
      </c>
      <c r="EW17" s="82" t="str">
        <f>IF(ISBLANK(fixtures!$K120),"",fixtures!$K120)</f>
        <v/>
      </c>
      <c r="EX17" s="21" t="str">
        <f>IF(ISBLANK(fixtures!$L120),"",IF(EU17&gt;EW17,"W",IF(EU17=EW17,"D","L")))</f>
        <v/>
      </c>
      <c r="EY17" s="21"/>
      <c r="EZ17" s="21"/>
      <c r="FA17" s="251">
        <v>22</v>
      </c>
      <c r="FB17" s="23" t="s">
        <v>218</v>
      </c>
      <c r="FC17" s="253">
        <f ca="1">IFERROR(INDIRECT("fixtures!" &amp; Dashboard!J1 &amp;119) - Dashboard!K1/24,"TBC")</f>
        <v>45983.625</v>
      </c>
      <c r="FD17" s="23"/>
      <c r="FE17" s="23" t="s">
        <v>8</v>
      </c>
      <c r="FF17" s="23" t="s">
        <v>93</v>
      </c>
      <c r="FG17" s="251" t="str">
        <f>IF(ISBLANK(fixtures!$K119),"",fixtures!$K119)</f>
        <v/>
      </c>
      <c r="FH17" s="23" t="str">
        <f>IF(ISBLANK(fixtures!$L119),"",":")</f>
        <v/>
      </c>
      <c r="FI17" s="252" t="str">
        <f>IF(ISBLANK(fixtures!$L119),"",fixtures!$L119)</f>
        <v/>
      </c>
      <c r="FJ17" s="23" t="str">
        <f>IF(ISBLANK(fixtures!$L119),"",IF(FG17&gt;FI17,"W",IF(FG17=FI17,"D","L")))</f>
        <v/>
      </c>
      <c r="FK17" s="23"/>
      <c r="FL17" s="23"/>
      <c r="FM17" s="85">
        <v>22</v>
      </c>
      <c r="FN17" s="25" t="s">
        <v>218</v>
      </c>
      <c r="FO17" s="259">
        <f ca="1">IFERROR(INDIRECT("fixtures!" &amp; Dashboard!J1 &amp;120) - Dashboard!K1/24,"TBC")</f>
        <v>45983.625</v>
      </c>
      <c r="FP17" s="25"/>
      <c r="FQ17" s="25" t="s">
        <v>10</v>
      </c>
      <c r="FR17" s="25" t="s">
        <v>93</v>
      </c>
      <c r="FS17" s="85" t="str">
        <f>IF(ISBLANK(fixtures!$K120),"",fixtures!$K120)</f>
        <v/>
      </c>
      <c r="FT17" s="25" t="str">
        <f>IF(ISBLANK(fixtures!$L120),"",":")</f>
        <v/>
      </c>
      <c r="FU17" s="87" t="str">
        <f>IF(ISBLANK(fixtures!$L120),"",fixtures!$L120)</f>
        <v/>
      </c>
      <c r="FV17" s="25" t="str">
        <f>IF(ISBLANK(fixtures!$L120),"",IF(FS17&gt;FU17,"W",IF(FS17=FU17,"D","L")))</f>
        <v/>
      </c>
      <c r="FW17" s="25"/>
      <c r="FX17" s="25"/>
      <c r="FY17" s="402">
        <v>22</v>
      </c>
      <c r="FZ17" s="390" t="s">
        <v>218</v>
      </c>
      <c r="GA17" s="404">
        <f ca="1">IFERROR(INDIRECT("fixtures!" &amp; Dashboard!J1 &amp;118) - Dashboard!K1/24,"TBC")</f>
        <v>45983.625</v>
      </c>
      <c r="GB17" s="390"/>
      <c r="GC17" s="390" t="s">
        <v>9</v>
      </c>
      <c r="GD17" s="390" t="s">
        <v>92</v>
      </c>
      <c r="GE17" s="402" t="str">
        <f>IF(ISBLANK(fixtures!$L118),"",fixtures!$L118)</f>
        <v/>
      </c>
      <c r="GF17" s="390" t="str">
        <f>IF(ISBLANK(fixtures!$L118),"",":")</f>
        <v/>
      </c>
      <c r="GG17" s="403" t="str">
        <f>IF(ISBLANK(fixtures!$K118),"",fixtures!$K118)</f>
        <v/>
      </c>
      <c r="GH17" s="390" t="str">
        <f>IF(ISBLANK(fixtures!$L118),"",IF(GE17&gt;GG17,"W",IF(GE17=GG17,"D","L")))</f>
        <v/>
      </c>
      <c r="GI17" s="390"/>
      <c r="GJ17" s="390"/>
      <c r="GK17" s="89">
        <v>22</v>
      </c>
      <c r="GL17" s="27" t="s">
        <v>218</v>
      </c>
      <c r="GM17" s="266">
        <f ca="1">IFERROR(INDIRECT("fixtures!" &amp; Dashboard!J1 &amp;112) - Dashboard!K1/24,"TBC")</f>
        <v>45983.625</v>
      </c>
      <c r="GN17" s="27"/>
      <c r="GO17" s="27" t="s">
        <v>1</v>
      </c>
      <c r="GP17" s="27" t="s">
        <v>92</v>
      </c>
      <c r="GQ17" s="89" t="str">
        <f>IF(ISBLANK(fixtures!$L112),"",fixtures!$L112)</f>
        <v/>
      </c>
      <c r="GR17" s="27" t="str">
        <f>IF(ISBLANK(fixtures!$L112),"",":")</f>
        <v/>
      </c>
      <c r="GS17" s="90" t="str">
        <f>IF(ISBLANK(fixtures!$K112),"",fixtures!$K112)</f>
        <v/>
      </c>
      <c r="GT17" s="27" t="str">
        <f>IF(ISBLANK(fixtures!$L112),"",IF(GQ17&gt;GS17,"W",IF(GQ17=GS17,"D","L")))</f>
        <v/>
      </c>
      <c r="GU17" s="27"/>
      <c r="GV17" s="27"/>
      <c r="GW17" s="382">
        <v>22</v>
      </c>
      <c r="GX17" s="380" t="s">
        <v>218</v>
      </c>
      <c r="GY17" s="384">
        <f ca="1">IFERROR(INDIRECT("fixtures!" &amp; Dashboard!J1 &amp;116) - Dashboard!K1/24,"TBC")</f>
        <v>45983.625</v>
      </c>
      <c r="GZ17" s="380"/>
      <c r="HA17" s="380" t="s">
        <v>108</v>
      </c>
      <c r="HB17" s="380" t="s">
        <v>92</v>
      </c>
      <c r="HC17" s="382" t="str">
        <f>IF(ISBLANK(fixtures!$L116),"",fixtures!$L116)</f>
        <v/>
      </c>
      <c r="HD17" s="380" t="str">
        <f>IF(ISBLANK(fixtures!$L116),"",":")</f>
        <v/>
      </c>
      <c r="HE17" s="383" t="str">
        <f>IF(ISBLANK(fixtures!$K116),"",fixtures!$K116)</f>
        <v/>
      </c>
      <c r="HF17" s="380" t="str">
        <f>IF(ISBLANK(fixtures!$L116),"",IF(HC17&gt;HE17,"W",IF(HC17=HE17,"D","L")))</f>
        <v/>
      </c>
      <c r="HG17" s="380"/>
      <c r="HH17" s="380"/>
      <c r="HI17" s="92">
        <v>22</v>
      </c>
      <c r="HJ17" s="29" t="s">
        <v>218</v>
      </c>
      <c r="HK17" s="272">
        <f ca="1">IFERROR(INDIRECT("fixtures!" &amp; Dashboard!J1 &amp;113) - Dashboard!K1/24,"TBC")</f>
        <v>45983.625</v>
      </c>
      <c r="HL17" s="29"/>
      <c r="HM17" s="29" t="s">
        <v>3</v>
      </c>
      <c r="HN17" s="29" t="s">
        <v>92</v>
      </c>
      <c r="HO17" s="92" t="str">
        <f>IF(ISBLANK(fixtures!$L113),"",fixtures!$L113)</f>
        <v/>
      </c>
      <c r="HP17" s="29" t="str">
        <f>IF(ISBLANK(fixtures!$L113),"",":")</f>
        <v/>
      </c>
      <c r="HQ17" s="94" t="str">
        <f>IF(ISBLANK(fixtures!$K113),"",fixtures!$K113)</f>
        <v/>
      </c>
      <c r="HR17" s="29" t="str">
        <f>IF(ISBLANK(fixtures!$L113),"",IF(HO17&gt;HQ17,"W",IF(HO17=HQ17,"D","L")))</f>
        <v/>
      </c>
      <c r="HS17" s="29"/>
      <c r="HT17" s="29"/>
      <c r="HU17" s="97">
        <v>22</v>
      </c>
      <c r="HV17" s="31" t="s">
        <v>218</v>
      </c>
      <c r="HW17" s="278">
        <f ca="1">IFERROR(INDIRECT("fixtures!" &amp; Dashboard!J1 &amp;121) - Dashboard!K1/24,"TBC")</f>
        <v>45983.625</v>
      </c>
      <c r="HX17" s="31"/>
      <c r="HY17" s="31" t="s">
        <v>7</v>
      </c>
      <c r="HZ17" s="31" t="s">
        <v>93</v>
      </c>
      <c r="IA17" s="97" t="str">
        <f>IF(ISBLANK(fixtures!$K121),"",fixtures!$K121)</f>
        <v/>
      </c>
      <c r="IB17" s="31" t="str">
        <f>IF(ISBLANK(fixtures!$L121),"",":")</f>
        <v/>
      </c>
      <c r="IC17" s="99" t="str">
        <f>IF(ISBLANK(fixtures!$L121),"",fixtures!$L121)</f>
        <v/>
      </c>
      <c r="ID17" s="31" t="str">
        <f>IF(ISBLANK(fixtures!$L121),"",IF(IA17&gt;IC17,"W",IF(IA17=IC17,"D","L")))</f>
        <v/>
      </c>
      <c r="IE17" s="31"/>
      <c r="IF17" s="31"/>
    </row>
    <row r="18" spans="1:243">
      <c r="A18" s="66">
        <v>29</v>
      </c>
      <c r="B18" s="6" t="s">
        <v>218</v>
      </c>
      <c r="C18" s="214">
        <f ca="1">IFERROR(INDIRECT("fixtures!" &amp; Dashboard!J1 &amp;124) - Dashboard!K1/24,"TBC")</f>
        <v>45990.625</v>
      </c>
      <c r="D18" s="6"/>
      <c r="E18" s="6" t="s">
        <v>6</v>
      </c>
      <c r="F18" s="6" t="s">
        <v>92</v>
      </c>
      <c r="G18" s="66" t="str">
        <f>IF(ISBLANK(fixtures!$L124),"",fixtures!$L124)</f>
        <v/>
      </c>
      <c r="H18" s="6" t="str">
        <f>IF(ISBLANK(fixtures!$L124),"",":")</f>
        <v/>
      </c>
      <c r="I18" s="68" t="str">
        <f>IF(ISBLANK(fixtures!$K124),"",fixtures!$K124)</f>
        <v/>
      </c>
      <c r="J18" s="6" t="str">
        <f>IF(ISBLANK(fixtures!$L124),"",IF(G18&gt;I18,"W",IF(G18=I18,"D","L")))</f>
        <v/>
      </c>
      <c r="K18" s="6"/>
      <c r="L18" s="6"/>
      <c r="M18" s="382">
        <v>29</v>
      </c>
      <c r="N18" s="380" t="s">
        <v>218</v>
      </c>
      <c r="O18" s="384">
        <f ca="1">IFERROR(INDIRECT("fixtures!" &amp; Dashboard!J1 &amp;122) - Dashboard!K1/24,"TBC")</f>
        <v>45990.625</v>
      </c>
      <c r="P18" s="380"/>
      <c r="Q18" s="380" t="s">
        <v>15</v>
      </c>
      <c r="R18" s="380" t="s">
        <v>93</v>
      </c>
      <c r="S18" s="382" t="str">
        <f>IF(ISBLANK(fixtures!$K122),"",fixtures!$K122)</f>
        <v/>
      </c>
      <c r="T18" s="380" t="str">
        <f>IF(ISBLANK(fixtures!$L122),"",":")</f>
        <v/>
      </c>
      <c r="U18" s="383" t="str">
        <f>IF(ISBLANK(fixtures!$L122),"",fixtures!$L122)</f>
        <v/>
      </c>
      <c r="V18" s="380" t="str">
        <f>IF(ISBLANK(fixtures!$L122),"",IF(S18&gt;U18,"W",IF(S18=U18,"D","L")))</f>
        <v/>
      </c>
      <c r="W18" s="380"/>
      <c r="X18" s="380"/>
      <c r="Y18" s="418">
        <v>29</v>
      </c>
      <c r="Z18" s="412" t="s">
        <v>218</v>
      </c>
      <c r="AA18" s="420">
        <f ca="1">IFERROR(INDIRECT("fixtures!" &amp; Dashboard!J1 &amp;130) - Dashboard!K1/24,"TBC")</f>
        <v>45990.625</v>
      </c>
      <c r="AB18" s="412"/>
      <c r="AC18" s="412" t="s">
        <v>443</v>
      </c>
      <c r="AD18" s="412" t="s">
        <v>92</v>
      </c>
      <c r="AE18" s="418" t="str">
        <f>IF(ISBLANK(fixtures!$L130),"",fixtures!$L130)</f>
        <v/>
      </c>
      <c r="AF18" s="412" t="str">
        <f>IF(ISBLANK(fixtures!$L130),"",":")</f>
        <v/>
      </c>
      <c r="AG18" s="419" t="str">
        <f>IF(ISBLANK(fixtures!$K130),"",fixtures!$K130)</f>
        <v/>
      </c>
      <c r="AH18" s="412" t="str">
        <f>IF(ISBLANK(fixtures!$L130),"",IF(AE18&gt;AG18,"W",IF(AE18=AG18,"D","L")))</f>
        <v/>
      </c>
      <c r="AI18" s="412"/>
      <c r="AJ18" s="412"/>
      <c r="AK18" s="427">
        <v>29</v>
      </c>
      <c r="AL18" s="413" t="s">
        <v>218</v>
      </c>
      <c r="AM18" s="429">
        <f ca="1">IFERROR(INDIRECT("fixtures!" &amp; Dashboard!J1 &amp;123) - Dashboard!K1/24,"TBC")</f>
        <v>45990.625</v>
      </c>
      <c r="AN18" s="413"/>
      <c r="AO18" s="413" t="s">
        <v>5</v>
      </c>
      <c r="AP18" s="413" t="s">
        <v>93</v>
      </c>
      <c r="AQ18" s="427" t="str">
        <f>IF(ISBLANK(fixtures!$K123),"",fixtures!$K123)</f>
        <v/>
      </c>
      <c r="AR18" s="413" t="str">
        <f>IF(ISBLANK(fixtures!$L123),"",":")</f>
        <v/>
      </c>
      <c r="AS18" s="428" t="str">
        <f>IF(ISBLANK(fixtures!$L123),"",fixtures!$L123)</f>
        <v/>
      </c>
      <c r="AT18" s="413" t="str">
        <f>IF(ISBLANK(fixtures!$L123),"",IF(AQ18&gt;AS18,"W",IF(AQ18=AS18,"D","L")))</f>
        <v/>
      </c>
      <c r="AU18" s="413"/>
      <c r="AV18" s="413"/>
      <c r="AW18" s="71">
        <v>29</v>
      </c>
      <c r="AX18" s="9" t="s">
        <v>218</v>
      </c>
      <c r="AY18" s="219">
        <f ca="1">IFERROR(INDIRECT("fixtures!" &amp; Dashboard!J1 &amp;128) - Dashboard!K1/24,"TBC")</f>
        <v>45990.625</v>
      </c>
      <c r="AZ18" s="9"/>
      <c r="BA18" s="9" t="s">
        <v>188</v>
      </c>
      <c r="BB18" s="9" t="s">
        <v>92</v>
      </c>
      <c r="BC18" s="71" t="str">
        <f>IF(ISBLANK(fixtures!$L128),"",fixtures!$L128)</f>
        <v/>
      </c>
      <c r="BD18" s="9" t="str">
        <f>IF(ISBLANK(fixtures!$L128),"",":")</f>
        <v/>
      </c>
      <c r="BE18" s="73" t="str">
        <f>IF(ISBLANK(fixtures!$K128),"",fixtures!$K128)</f>
        <v/>
      </c>
      <c r="BF18" s="9" t="str">
        <f>IF(ISBLANK(fixtures!$L128),"",IF(BC18&gt;BE18,"W",IF(BC18=BE18,"D","L")))</f>
        <v/>
      </c>
      <c r="BG18" s="9"/>
      <c r="BH18" s="9"/>
      <c r="BI18" s="436">
        <v>29</v>
      </c>
      <c r="BJ18" s="414" t="s">
        <v>218</v>
      </c>
      <c r="BK18" s="438">
        <f ca="1">IFERROR(INDIRECT("fixtures!" &amp; Dashboard!J1 &amp;123) - Dashboard!K1/24,"TBC")</f>
        <v>45990.625</v>
      </c>
      <c r="BL18" s="414"/>
      <c r="BM18" s="414" t="s">
        <v>107</v>
      </c>
      <c r="BN18" s="414" t="s">
        <v>92</v>
      </c>
      <c r="BO18" s="436" t="str">
        <f>IF(ISBLANK(fixtures!$L123),"",fixtures!$L123)</f>
        <v/>
      </c>
      <c r="BP18" s="414" t="str">
        <f>IF(ISBLANK(fixtures!$L123),"",":")</f>
        <v/>
      </c>
      <c r="BQ18" s="437" t="str">
        <f>IF(ISBLANK(fixtures!$K123),"",fixtures!$K123)</f>
        <v/>
      </c>
      <c r="BR18" s="414" t="str">
        <f>IF(ISBLANK(fixtures!$L123),"",IF(BO18&gt;BQ18,"W",IF(BO18=BQ18,"D","L")))</f>
        <v/>
      </c>
      <c r="BS18" s="414"/>
      <c r="BT18" s="414"/>
      <c r="BU18" s="146">
        <v>29</v>
      </c>
      <c r="BV18" s="13" t="s">
        <v>218</v>
      </c>
      <c r="BW18" s="225">
        <f ca="1">IFERROR(INDIRECT("fixtures!" &amp; Dashboard!J1 &amp;124) - Dashboard!K1/24,"TBC")</f>
        <v>45990.625</v>
      </c>
      <c r="BX18" s="13"/>
      <c r="BY18" s="13" t="s">
        <v>1</v>
      </c>
      <c r="BZ18" s="13" t="s">
        <v>93</v>
      </c>
      <c r="CA18" s="146" t="str">
        <f>IF(ISBLANK(fixtures!$K124),"",fixtures!$K124)</f>
        <v/>
      </c>
      <c r="CB18" s="13" t="str">
        <f>IF(ISBLANK(fixtures!$L124),"",":")</f>
        <v/>
      </c>
      <c r="CC18" s="148" t="str">
        <f>IF(ISBLANK(fixtures!$L124),"",fixtures!$L124)</f>
        <v/>
      </c>
      <c r="CD18" s="13" t="str">
        <f>IF(ISBLANK(fixtures!$L124),"",IF(CA18&gt;CC18,"W",IF(CA18=CC18,"D","L")))</f>
        <v/>
      </c>
      <c r="CE18" s="13"/>
      <c r="CF18" s="13"/>
      <c r="CG18" s="394">
        <v>29</v>
      </c>
      <c r="CH18" s="14" t="s">
        <v>218</v>
      </c>
      <c r="CI18" s="396">
        <f ca="1">IFERROR(INDIRECT("fixtures!" &amp; Dashboard!J1 &amp;125) - Dashboard!K1/24,"TBC")</f>
        <v>45990.625</v>
      </c>
      <c r="CJ18" s="14"/>
      <c r="CK18" s="14" t="s">
        <v>11</v>
      </c>
      <c r="CL18" s="14" t="s">
        <v>93</v>
      </c>
      <c r="CM18" s="394" t="str">
        <f>IF(ISBLANK(fixtures!$K125),"",fixtures!$K125)</f>
        <v/>
      </c>
      <c r="CN18" s="14" t="str">
        <f>IF(ISBLANK(fixtures!$L125),"",":")</f>
        <v/>
      </c>
      <c r="CO18" s="395" t="str">
        <f>IF(ISBLANK(fixtures!$L125),"",fixtures!$L125)</f>
        <v/>
      </c>
      <c r="CP18" s="14" t="str">
        <f>IF(ISBLANK(fixtures!$L125),"",IF(CM18&gt;CO18,"W",IF(CM18=CO18,"D","L")))</f>
        <v/>
      </c>
      <c r="CQ18" s="14"/>
      <c r="CR18" s="14"/>
      <c r="CS18" s="231">
        <v>29</v>
      </c>
      <c r="CT18" s="17" t="s">
        <v>218</v>
      </c>
      <c r="CU18" s="233">
        <f ca="1">IFERROR(INDIRECT("fixtures!" &amp; Dashboard!J1 &amp;126) - Dashboard!K1/24,"TBC")</f>
        <v>45990.625</v>
      </c>
      <c r="CV18" s="17"/>
      <c r="CW18" s="17" t="s">
        <v>12</v>
      </c>
      <c r="CX18" s="17" t="s">
        <v>93</v>
      </c>
      <c r="CY18" s="231" t="str">
        <f>IF(ISBLANK(fixtures!$K126),"",fixtures!$K126)</f>
        <v/>
      </c>
      <c r="CZ18" s="17" t="str">
        <f>IF(ISBLANK(fixtures!$L126),"",":")</f>
        <v/>
      </c>
      <c r="DA18" s="232" t="str">
        <f>IF(ISBLANK(fixtures!$L126),"",fixtures!$L126)</f>
        <v/>
      </c>
      <c r="DB18" s="17" t="str">
        <f>IF(ISBLANK(fixtures!$L126),"",IF(CY18&gt;DA18,"W",IF(CY18=DA18,"D","L")))</f>
        <v/>
      </c>
      <c r="DC18" s="17"/>
      <c r="DD18" s="17"/>
      <c r="DE18" s="444">
        <v>29</v>
      </c>
      <c r="DF18" s="143" t="s">
        <v>218</v>
      </c>
      <c r="DG18" s="446">
        <f ca="1">IFERROR(INDIRECT("fixtures!" &amp; Dashboard!J1 &amp;129) - Dashboard!K1/24,"TBC")</f>
        <v>45990.625</v>
      </c>
      <c r="DH18" s="143"/>
      <c r="DI18" s="143" t="s">
        <v>13</v>
      </c>
      <c r="DJ18" s="143" t="s">
        <v>92</v>
      </c>
      <c r="DK18" s="444" t="str">
        <f>IF(ISBLANK(fixtures!$L129),"",fixtures!$L129)</f>
        <v/>
      </c>
      <c r="DL18" s="143" t="str">
        <f>IF(ISBLANK(fixtures!$L129),"",":")</f>
        <v/>
      </c>
      <c r="DM18" s="445" t="str">
        <f>IF(ISBLANK(fixtures!$K129),"",fixtures!$K129)</f>
        <v/>
      </c>
      <c r="DN18" s="143" t="str">
        <f>IF(ISBLANK(fixtures!$L129),"",IF(DK18&gt;DM18,"W",IF(DK18=DM18,"D","L")))</f>
        <v/>
      </c>
      <c r="DO18" s="143"/>
      <c r="DP18" s="143"/>
      <c r="DQ18" s="382">
        <v>29</v>
      </c>
      <c r="DR18" s="380" t="s">
        <v>218</v>
      </c>
      <c r="DS18" s="384">
        <f ca="1">IFERROR(INDIRECT("fixtures!" &amp; Dashboard!J1 &amp;127) - Dashboard!K1/24,"TBC")</f>
        <v>45990.625</v>
      </c>
      <c r="DT18" s="380"/>
      <c r="DU18" s="380" t="s">
        <v>10</v>
      </c>
      <c r="DV18" s="380" t="s">
        <v>92</v>
      </c>
      <c r="DW18" s="382" t="str">
        <f>IF(ISBLANK(fixtures!$L127),"",fixtures!$L127)</f>
        <v/>
      </c>
      <c r="DX18" s="380" t="str">
        <f>IF(ISBLANK(fixtures!$L127),"",":")</f>
        <v/>
      </c>
      <c r="DY18" s="383" t="str">
        <f>IF(ISBLANK(fixtures!$K127),"",fixtures!$K127)</f>
        <v/>
      </c>
      <c r="DZ18" s="380" t="str">
        <f>IF(ISBLANK(fixtures!$L127),"",IF(DW18&gt;DY18,"W",IF(DW18=DY18,"D","L")))</f>
        <v/>
      </c>
      <c r="EA18" s="380"/>
      <c r="EB18" s="380"/>
      <c r="EC18" s="207">
        <v>29</v>
      </c>
      <c r="ED18" s="19" t="s">
        <v>218</v>
      </c>
      <c r="EE18" s="239">
        <f ca="1">IFERROR(INDIRECT("fixtures!" &amp; Dashboard!J1 &amp;131) - Dashboard!K1/24,"TBC")</f>
        <v>45990.625</v>
      </c>
      <c r="EF18" s="19"/>
      <c r="EG18" s="19" t="s">
        <v>14</v>
      </c>
      <c r="EH18" s="19" t="s">
        <v>92</v>
      </c>
      <c r="EI18" s="207" t="str">
        <f>IF(ISBLANK(fixtures!$L131),"",fixtures!$L131)</f>
        <v/>
      </c>
      <c r="EJ18" s="19" t="str">
        <f>IF(ISBLANK(fixtures!$L131),"",":")</f>
        <v/>
      </c>
      <c r="EK18" s="209" t="str">
        <f>IF(ISBLANK(fixtures!$K131),"",fixtures!$K131)</f>
        <v/>
      </c>
      <c r="EL18" s="19" t="str">
        <f>IF(ISBLANK(fixtures!$L131),"",IF(EI18&gt;EK18,"W",IF(EI18=EK18,"D","L")))</f>
        <v/>
      </c>
      <c r="EM18" s="19"/>
      <c r="EN18" s="19"/>
      <c r="EO18" s="80">
        <v>29</v>
      </c>
      <c r="EP18" s="21" t="s">
        <v>218</v>
      </c>
      <c r="EQ18" s="245">
        <f ca="1">IFERROR(INDIRECT("fixtures!" &amp; Dashboard!J1 &amp;127) - Dashboard!K1/24,"TBC")</f>
        <v>45990.625</v>
      </c>
      <c r="ER18" s="21"/>
      <c r="ES18" s="21" t="s">
        <v>444</v>
      </c>
      <c r="ET18" s="21" t="s">
        <v>93</v>
      </c>
      <c r="EU18" s="80" t="str">
        <f>IF(ISBLANK(fixtures!$K127),"",fixtures!$K127)</f>
        <v/>
      </c>
      <c r="EV18" s="21" t="str">
        <f>IF(ISBLANK(fixtures!$L127),"",":")</f>
        <v/>
      </c>
      <c r="EW18" s="82" t="str">
        <f>IF(ISBLANK(fixtures!$L127),"",fixtures!$L127)</f>
        <v/>
      </c>
      <c r="EX18" s="21" t="str">
        <f>IF(ISBLANK(fixtures!$L127),"",IF(EU18&gt;EW18,"W",IF(EU18=EW18,"D","L")))</f>
        <v/>
      </c>
      <c r="EY18" s="21"/>
      <c r="EZ18" s="21"/>
      <c r="FA18" s="251">
        <v>29</v>
      </c>
      <c r="FB18" s="23" t="s">
        <v>218</v>
      </c>
      <c r="FC18" s="253">
        <f ca="1">IFERROR(INDIRECT("fixtures!" &amp; Dashboard!J1 &amp;125) - Dashboard!K1/24,"TBC")</f>
        <v>45990.625</v>
      </c>
      <c r="FD18" s="23"/>
      <c r="FE18" s="23" t="s">
        <v>7</v>
      </c>
      <c r="FF18" s="23" t="s">
        <v>92</v>
      </c>
      <c r="FG18" s="251" t="str">
        <f>IF(ISBLANK(fixtures!$L125),"",fixtures!$L125)</f>
        <v/>
      </c>
      <c r="FH18" s="23" t="str">
        <f>IF(ISBLANK(fixtures!$L125),"",":")</f>
        <v/>
      </c>
      <c r="FI18" s="252" t="str">
        <f>IF(ISBLANK(fixtures!$K125),"",fixtures!$K125)</f>
        <v/>
      </c>
      <c r="FJ18" s="23" t="str">
        <f>IF(ISBLANK(fixtures!$L125),"",IF(FG18&gt;FI18,"W",IF(FG18=FI18,"D","L")))</f>
        <v/>
      </c>
      <c r="FK18" s="23"/>
      <c r="FL18" s="23"/>
      <c r="FM18" s="85">
        <v>29</v>
      </c>
      <c r="FN18" s="25" t="s">
        <v>218</v>
      </c>
      <c r="FO18" s="259">
        <f ca="1">IFERROR(INDIRECT("fixtures!" &amp; Dashboard!J1 &amp;126) - Dashboard!K1/24,"TBC")</f>
        <v>45990.625</v>
      </c>
      <c r="FP18" s="25"/>
      <c r="FQ18" s="25" t="s">
        <v>8</v>
      </c>
      <c r="FR18" s="25" t="s">
        <v>92</v>
      </c>
      <c r="FS18" s="85" t="str">
        <f>IF(ISBLANK(fixtures!$L126),"",fixtures!$L126)</f>
        <v/>
      </c>
      <c r="FT18" s="25" t="str">
        <f>IF(ISBLANK(fixtures!$L126),"",":")</f>
        <v/>
      </c>
      <c r="FU18" s="87" t="str">
        <f>IF(ISBLANK(fixtures!$K126),"",fixtures!$K126)</f>
        <v/>
      </c>
      <c r="FV18" s="25" t="str">
        <f>IF(ISBLANK(fixtures!$L126),"",IF(FS18&gt;FU18,"W",IF(FS18=FU18,"D","L")))</f>
        <v/>
      </c>
      <c r="FW18" s="25"/>
      <c r="FX18" s="25"/>
      <c r="FY18" s="402">
        <v>29</v>
      </c>
      <c r="FZ18" s="390" t="s">
        <v>218</v>
      </c>
      <c r="GA18" s="404">
        <f ca="1">IFERROR(INDIRECT("fixtures!" &amp; Dashboard!J1 &amp;128) - Dashboard!K1/24,"TBC")</f>
        <v>45990.625</v>
      </c>
      <c r="GB18" s="390"/>
      <c r="GC18" s="390" t="s">
        <v>4</v>
      </c>
      <c r="GD18" s="390" t="s">
        <v>93</v>
      </c>
      <c r="GE18" s="402" t="str">
        <f>IF(ISBLANK(fixtures!$K128),"",fixtures!$K128)</f>
        <v/>
      </c>
      <c r="GF18" s="390" t="str">
        <f>IF(ISBLANK(fixtures!$L128),"",":")</f>
        <v/>
      </c>
      <c r="GG18" s="403" t="str">
        <f>IF(ISBLANK(fixtures!$L128),"",fixtures!$L128)</f>
        <v/>
      </c>
      <c r="GH18" s="390" t="str">
        <f>IF(ISBLANK(fixtures!$L128),"",IF(GE18&gt;GG18,"W",IF(GE18=GG18,"D","L")))</f>
        <v/>
      </c>
      <c r="GI18" s="390"/>
      <c r="GJ18" s="390"/>
      <c r="GK18" s="89">
        <v>29</v>
      </c>
      <c r="GL18" s="27" t="s">
        <v>218</v>
      </c>
      <c r="GM18" s="266">
        <f ca="1">IFERROR(INDIRECT("fixtures!" &amp; Dashboard!J1 &amp;129) - Dashboard!K1/24,"TBC")</f>
        <v>45990.625</v>
      </c>
      <c r="GN18" s="27"/>
      <c r="GO18" s="27" t="s">
        <v>108</v>
      </c>
      <c r="GP18" s="27" t="s">
        <v>93</v>
      </c>
      <c r="GQ18" s="89" t="str">
        <f>IF(ISBLANK(fixtures!$K129),"",fixtures!$K129)</f>
        <v/>
      </c>
      <c r="GR18" s="27" t="str">
        <f>IF(ISBLANK(fixtures!$L129),"",":")</f>
        <v/>
      </c>
      <c r="GS18" s="90" t="str">
        <f>IF(ISBLANK(fixtures!$L129),"",fixtures!$L129)</f>
        <v/>
      </c>
      <c r="GT18" s="27" t="str">
        <f>IF(ISBLANK(fixtures!$L129),"",IF(GQ18&gt;GS18,"W",IF(GQ18=GS18,"D","L")))</f>
        <v/>
      </c>
      <c r="GU18" s="27"/>
      <c r="GV18" s="27"/>
      <c r="GW18" s="382">
        <v>29</v>
      </c>
      <c r="GX18" s="380" t="s">
        <v>218</v>
      </c>
      <c r="GY18" s="384">
        <f ca="1">IFERROR(INDIRECT("fixtures!" &amp; Dashboard!J1 &amp;130) - Dashboard!K1/24,"TBC")</f>
        <v>45990.625</v>
      </c>
      <c r="GZ18" s="380"/>
      <c r="HA18" s="380" t="s">
        <v>3</v>
      </c>
      <c r="HB18" s="380" t="s">
        <v>93</v>
      </c>
      <c r="HC18" s="382" t="str">
        <f>IF(ISBLANK(fixtures!$K130),"",fixtures!$K130)</f>
        <v/>
      </c>
      <c r="HD18" s="380" t="str">
        <f>IF(ISBLANK(fixtures!$L130),"",":")</f>
        <v/>
      </c>
      <c r="HE18" s="383" t="str">
        <f>IF(ISBLANK(fixtures!$L130),"",fixtures!$L130)</f>
        <v/>
      </c>
      <c r="HF18" s="380" t="str">
        <f>IF(ISBLANK(fixtures!$L130),"",IF(HC18&gt;HE18,"W",IF(HC18=HE18,"D","L")))</f>
        <v/>
      </c>
      <c r="HG18" s="380"/>
      <c r="HH18" s="380"/>
      <c r="HI18" s="92">
        <v>29</v>
      </c>
      <c r="HJ18" s="29" t="s">
        <v>218</v>
      </c>
      <c r="HK18" s="272">
        <f ca="1">IFERROR(INDIRECT("fixtures!" &amp; Dashboard!J1 &amp;131) - Dashboard!K1/24,"TBC")</f>
        <v>45990.625</v>
      </c>
      <c r="HL18" s="29"/>
      <c r="HM18" s="29" t="s">
        <v>9</v>
      </c>
      <c r="HN18" s="29" t="s">
        <v>93</v>
      </c>
      <c r="HO18" s="92" t="str">
        <f>IF(ISBLANK(fixtures!$K131),"",fixtures!$K131)</f>
        <v/>
      </c>
      <c r="HP18" s="29" t="str">
        <f>IF(ISBLANK(fixtures!$L131),"",":")</f>
        <v/>
      </c>
      <c r="HQ18" s="94" t="str">
        <f>IF(ISBLANK(fixtures!$L131),"",fixtures!$L131)</f>
        <v/>
      </c>
      <c r="HR18" s="29" t="str">
        <f>IF(ISBLANK(fixtures!$L131),"",IF(HO18&gt;HQ18,"W",IF(HO18=HQ18,"D","L")))</f>
        <v/>
      </c>
      <c r="HS18" s="29"/>
      <c r="HT18" s="29"/>
      <c r="HU18" s="97">
        <v>29</v>
      </c>
      <c r="HV18" s="31" t="s">
        <v>218</v>
      </c>
      <c r="HW18" s="278">
        <f ca="1">IFERROR(INDIRECT("fixtures!" &amp; Dashboard!J1 &amp;122) - Dashboard!K1/24,"TBC")</f>
        <v>45990.625</v>
      </c>
      <c r="HX18" s="31"/>
      <c r="HY18" s="31" t="s">
        <v>2</v>
      </c>
      <c r="HZ18" s="31" t="s">
        <v>92</v>
      </c>
      <c r="IA18" s="97" t="str">
        <f>IF(ISBLANK(fixtures!$L122),"",fixtures!$L122)</f>
        <v/>
      </c>
      <c r="IB18" s="31" t="str">
        <f>IF(ISBLANK(fixtures!$L122),"",":")</f>
        <v/>
      </c>
      <c r="IC18" s="99" t="str">
        <f>IF(ISBLANK(fixtures!$K122),"",fixtures!$K122)</f>
        <v/>
      </c>
      <c r="ID18" s="31" t="str">
        <f>IF(ISBLANK(fixtures!$L122),"",IF(IA18&gt;IC18,"W",IF(IA18=IC18,"D","L")))</f>
        <v/>
      </c>
      <c r="IE18" s="31"/>
      <c r="IF18" s="31"/>
    </row>
    <row r="19" spans="1:243">
      <c r="A19" s="215" t="s">
        <v>20</v>
      </c>
      <c r="B19" s="6"/>
      <c r="C19" s="214"/>
      <c r="D19" s="6"/>
      <c r="E19" s="6"/>
      <c r="F19" s="6"/>
      <c r="G19" s="66"/>
      <c r="H19" s="6"/>
      <c r="I19" s="68"/>
      <c r="J19" s="6"/>
      <c r="K19" s="6"/>
      <c r="L19" s="6"/>
      <c r="M19" s="385" t="s">
        <v>20</v>
      </c>
      <c r="N19" s="380"/>
      <c r="O19" s="384"/>
      <c r="P19" s="380"/>
      <c r="Q19" s="380"/>
      <c r="R19" s="380"/>
      <c r="S19" s="382"/>
      <c r="T19" s="380"/>
      <c r="U19" s="383"/>
      <c r="V19" s="380"/>
      <c r="W19" s="380"/>
      <c r="X19" s="380"/>
      <c r="Y19" s="421" t="s">
        <v>20</v>
      </c>
      <c r="Z19" s="412"/>
      <c r="AA19" s="420"/>
      <c r="AB19" s="412"/>
      <c r="AC19" s="412"/>
      <c r="AD19" s="412"/>
      <c r="AE19" s="418"/>
      <c r="AF19" s="412"/>
      <c r="AG19" s="419"/>
      <c r="AH19" s="412"/>
      <c r="AI19" s="412"/>
      <c r="AJ19" s="412"/>
      <c r="AK19" s="430" t="s">
        <v>20</v>
      </c>
      <c r="AL19" s="413"/>
      <c r="AM19" s="429"/>
      <c r="AN19" s="413"/>
      <c r="AO19" s="413"/>
      <c r="AP19" s="413"/>
      <c r="AQ19" s="427"/>
      <c r="AR19" s="413"/>
      <c r="AS19" s="428"/>
      <c r="AT19" s="413"/>
      <c r="AU19" s="413"/>
      <c r="AV19" s="413"/>
      <c r="AW19" s="220" t="s">
        <v>20</v>
      </c>
      <c r="AX19" s="73"/>
      <c r="AY19" s="219"/>
      <c r="AZ19" s="9"/>
      <c r="BA19" s="9"/>
      <c r="BB19" s="9"/>
      <c r="BC19" s="71"/>
      <c r="BD19" s="9"/>
      <c r="BE19" s="73"/>
      <c r="BF19" s="9"/>
      <c r="BG19" s="9"/>
      <c r="BH19" s="9"/>
      <c r="BI19" s="439" t="s">
        <v>20</v>
      </c>
      <c r="BJ19" s="414"/>
      <c r="BK19" s="438"/>
      <c r="BL19" s="414"/>
      <c r="BM19" s="414"/>
      <c r="BN19" s="414"/>
      <c r="BO19" s="436"/>
      <c r="BP19" s="414"/>
      <c r="BQ19" s="437"/>
      <c r="BR19" s="414"/>
      <c r="BS19" s="414"/>
      <c r="BT19" s="414"/>
      <c r="BU19" s="226" t="s">
        <v>20</v>
      </c>
      <c r="BV19" s="13"/>
      <c r="BW19" s="225"/>
      <c r="BX19" s="13"/>
      <c r="BY19" s="13"/>
      <c r="BZ19" s="13"/>
      <c r="CA19" s="146"/>
      <c r="CB19" s="13"/>
      <c r="CC19" s="148"/>
      <c r="CD19" s="13"/>
      <c r="CE19" s="13"/>
      <c r="CF19" s="13"/>
      <c r="CG19" s="397" t="s">
        <v>20</v>
      </c>
      <c r="CH19" s="14"/>
      <c r="CI19" s="396"/>
      <c r="CJ19" s="14"/>
      <c r="CK19" s="14"/>
      <c r="CL19" s="14"/>
      <c r="CM19" s="394"/>
      <c r="CN19" s="14"/>
      <c r="CO19" s="395"/>
      <c r="CP19" s="14"/>
      <c r="CQ19" s="14"/>
      <c r="CR19" s="14"/>
      <c r="CS19" s="234" t="s">
        <v>20</v>
      </c>
      <c r="CT19" s="17"/>
      <c r="CU19" s="233"/>
      <c r="CV19" s="17"/>
      <c r="CW19" s="17"/>
      <c r="CX19" s="17"/>
      <c r="CY19" s="231"/>
      <c r="CZ19" s="17"/>
      <c r="DA19" s="232"/>
      <c r="DB19" s="17"/>
      <c r="DC19" s="17"/>
      <c r="DD19" s="17"/>
      <c r="DE19" s="447" t="s">
        <v>20</v>
      </c>
      <c r="DF19" s="143"/>
      <c r="DG19" s="446"/>
      <c r="DH19" s="143"/>
      <c r="DI19" s="143"/>
      <c r="DJ19" s="143"/>
      <c r="DK19" s="444"/>
      <c r="DL19" s="143"/>
      <c r="DM19" s="445"/>
      <c r="DN19" s="143"/>
      <c r="DO19" s="143"/>
      <c r="DP19" s="143"/>
      <c r="DQ19" s="385" t="s">
        <v>20</v>
      </c>
      <c r="DR19" s="380"/>
      <c r="DS19" s="384"/>
      <c r="DT19" s="380"/>
      <c r="DU19" s="380"/>
      <c r="DV19" s="380"/>
      <c r="DW19" s="382"/>
      <c r="DX19" s="380"/>
      <c r="DY19" s="383"/>
      <c r="DZ19" s="380"/>
      <c r="EA19" s="380"/>
      <c r="EB19" s="380"/>
      <c r="EC19" s="240" t="s">
        <v>20</v>
      </c>
      <c r="ED19" s="19"/>
      <c r="EE19" s="239"/>
      <c r="EF19" s="19"/>
      <c r="EG19" s="19"/>
      <c r="EH19" s="19"/>
      <c r="EI19" s="207"/>
      <c r="EJ19" s="19"/>
      <c r="EK19" s="209"/>
      <c r="EL19" s="19"/>
      <c r="EM19" s="19"/>
      <c r="EN19" s="19"/>
      <c r="EO19" s="246" t="s">
        <v>20</v>
      </c>
      <c r="EP19" s="21"/>
      <c r="EQ19" s="245"/>
      <c r="ER19" s="21"/>
      <c r="ES19" s="21"/>
      <c r="ET19" s="21"/>
      <c r="EU19" s="80"/>
      <c r="EV19" s="21"/>
      <c r="EW19" s="82"/>
      <c r="EX19" s="21"/>
      <c r="EY19" s="21"/>
      <c r="EZ19" s="21"/>
      <c r="FA19" s="254" t="s">
        <v>20</v>
      </c>
      <c r="FB19" s="23"/>
      <c r="FC19" s="253"/>
      <c r="FD19" s="23"/>
      <c r="FE19" s="23"/>
      <c r="FF19" s="23"/>
      <c r="FG19" s="251"/>
      <c r="FH19" s="23"/>
      <c r="FI19" s="252"/>
      <c r="FJ19" s="23"/>
      <c r="FK19" s="23"/>
      <c r="FL19" s="23"/>
      <c r="FM19" s="260" t="s">
        <v>20</v>
      </c>
      <c r="FN19" s="25"/>
      <c r="FO19" s="259"/>
      <c r="FP19" s="25"/>
      <c r="FQ19" s="25"/>
      <c r="FR19" s="25"/>
      <c r="FS19" s="85"/>
      <c r="FT19" s="25"/>
      <c r="FU19" s="87"/>
      <c r="FV19" s="25"/>
      <c r="FW19" s="25"/>
      <c r="FX19" s="25"/>
      <c r="FY19" s="405" t="s">
        <v>20</v>
      </c>
      <c r="FZ19" s="390"/>
      <c r="GA19" s="404"/>
      <c r="GB19" s="390"/>
      <c r="GC19" s="390"/>
      <c r="GD19" s="390"/>
      <c r="GE19" s="402"/>
      <c r="GF19" s="390"/>
      <c r="GG19" s="403"/>
      <c r="GH19" s="390"/>
      <c r="GI19" s="390"/>
      <c r="GJ19" s="390"/>
      <c r="GK19" s="267" t="s">
        <v>20</v>
      </c>
      <c r="GL19" s="90"/>
      <c r="GM19" s="266"/>
      <c r="GN19" s="27"/>
      <c r="GO19" s="27"/>
      <c r="GP19" s="27"/>
      <c r="GQ19" s="89"/>
      <c r="GR19" s="27"/>
      <c r="GS19" s="90"/>
      <c r="GT19" s="27"/>
      <c r="GU19" s="27"/>
      <c r="GV19" s="27"/>
      <c r="GW19" s="385" t="s">
        <v>20</v>
      </c>
      <c r="GX19" s="380"/>
      <c r="GY19" s="384"/>
      <c r="GZ19" s="380"/>
      <c r="HA19" s="380"/>
      <c r="HB19" s="380"/>
      <c r="HC19" s="382"/>
      <c r="HD19" s="380"/>
      <c r="HE19" s="383"/>
      <c r="HF19" s="380"/>
      <c r="HG19" s="380"/>
      <c r="HH19" s="380"/>
      <c r="HI19" s="273" t="s">
        <v>20</v>
      </c>
      <c r="HJ19" s="29"/>
      <c r="HK19" s="272"/>
      <c r="HL19" s="29"/>
      <c r="HM19" s="29"/>
      <c r="HN19" s="29"/>
      <c r="HO19" s="92"/>
      <c r="HP19" s="29"/>
      <c r="HQ19" s="94"/>
      <c r="HR19" s="29"/>
      <c r="HS19" s="29"/>
      <c r="HT19" s="29"/>
      <c r="HU19" s="279" t="s">
        <v>20</v>
      </c>
      <c r="HV19" s="31"/>
      <c r="HW19" s="278"/>
      <c r="HX19" s="31"/>
      <c r="HY19" s="31"/>
      <c r="HZ19" s="31"/>
      <c r="IA19" s="97"/>
      <c r="IB19" s="31"/>
      <c r="IC19" s="99"/>
      <c r="ID19" s="31"/>
      <c r="IE19" s="31"/>
      <c r="IF19" s="31"/>
    </row>
    <row r="20" spans="1:243">
      <c r="A20" s="66">
        <v>3</v>
      </c>
      <c r="B20" s="6" t="s">
        <v>439</v>
      </c>
      <c r="C20" s="214">
        <f ca="1">IFERROR(INDIRECT("fixtures!" &amp; Dashboard!J1 &amp;132) - Dashboard!K1/24,"TBC")</f>
        <v>45994.833333333336</v>
      </c>
      <c r="D20" s="6"/>
      <c r="E20" s="6" t="s">
        <v>107</v>
      </c>
      <c r="F20" s="6" t="s">
        <v>93</v>
      </c>
      <c r="G20" s="66" t="str">
        <f>IF(ISBLANK(fixtures!$K132),"",fixtures!$K132)</f>
        <v/>
      </c>
      <c r="H20" s="6" t="str">
        <f>IF(ISBLANK(fixtures!$L132),"",":")</f>
        <v/>
      </c>
      <c r="I20" s="68" t="str">
        <f>IF(ISBLANK(fixtures!$L132),"",fixtures!$L132)</f>
        <v/>
      </c>
      <c r="J20" s="6" t="str">
        <f>IF(ISBLANK(fixtures!$L132),"",IF(G20&gt;I20,"W",IF(G20=I20,"D","L")))</f>
        <v/>
      </c>
      <c r="K20" s="6"/>
      <c r="L20" s="6"/>
      <c r="M20" s="382">
        <v>3</v>
      </c>
      <c r="N20" s="380" t="s">
        <v>439</v>
      </c>
      <c r="O20" s="384">
        <f ca="1">IFERROR(INDIRECT("fixtures!" &amp; Dashboard!J1 &amp;134) - Dashboard!K1/24,"TBC")</f>
        <v>45994.833333333336</v>
      </c>
      <c r="P20" s="380"/>
      <c r="Q20" s="380" t="s">
        <v>4</v>
      </c>
      <c r="R20" s="380" t="s">
        <v>92</v>
      </c>
      <c r="S20" s="382" t="str">
        <f>IF(ISBLANK(fixtures!$L134),"",fixtures!$L134)</f>
        <v/>
      </c>
      <c r="T20" s="380" t="str">
        <f>IF(ISBLANK(fixtures!$L134),"",":")</f>
        <v/>
      </c>
      <c r="U20" s="383" t="str">
        <f>IF(ISBLANK(fixtures!$K134),"",fixtures!$K134)</f>
        <v/>
      </c>
      <c r="V20" s="380" t="str">
        <f>IF(ISBLANK(fixtures!$L134),"",IF(S20&gt;U20,"W",IF(S20=U20,"D","L")))</f>
        <v/>
      </c>
      <c r="W20" s="380"/>
      <c r="X20" s="380"/>
      <c r="Y20" s="418">
        <v>3</v>
      </c>
      <c r="Z20" s="412" t="s">
        <v>439</v>
      </c>
      <c r="AA20" s="420">
        <f ca="1">IFERROR(INDIRECT("fixtures!" &amp; Dashboard!J1 &amp;133) - Dashboard!K1/24,"TBC")</f>
        <v>45994.833333333336</v>
      </c>
      <c r="AB20" s="412"/>
      <c r="AC20" s="412" t="s">
        <v>8</v>
      </c>
      <c r="AD20" s="412" t="s">
        <v>93</v>
      </c>
      <c r="AE20" s="418" t="str">
        <f>IF(ISBLANK(fixtures!$K133),"",fixtures!$K133)</f>
        <v/>
      </c>
      <c r="AF20" s="412" t="str">
        <f>IF(ISBLANK(fixtures!$L133),"",":")</f>
        <v/>
      </c>
      <c r="AG20" s="419" t="str">
        <f>IF(ISBLANK(fixtures!$L133),"",fixtures!$L133)</f>
        <v/>
      </c>
      <c r="AH20" s="412" t="str">
        <f>IF(ISBLANK(fixtures!$L133),"",IF(AE20&gt;AG20,"W",IF(AE20=AG20,"D","L")))</f>
        <v/>
      </c>
      <c r="AI20" s="412"/>
      <c r="AJ20" s="412"/>
      <c r="AK20" s="427">
        <v>3</v>
      </c>
      <c r="AL20" s="413" t="s">
        <v>439</v>
      </c>
      <c r="AM20" s="429">
        <f ca="1">IFERROR(INDIRECT("fixtures!" &amp; Dashboard!J1 &amp;132) - Dashboard!K1/24,"TBC")</f>
        <v>45994.833333333336</v>
      </c>
      <c r="AN20" s="413"/>
      <c r="AO20" s="413" t="s">
        <v>1</v>
      </c>
      <c r="AP20" s="413" t="s">
        <v>92</v>
      </c>
      <c r="AQ20" s="427" t="str">
        <f>IF(ISBLANK(fixtures!$L132),"",fixtures!$L132)</f>
        <v/>
      </c>
      <c r="AR20" s="413" t="str">
        <f>IF(ISBLANK(fixtures!$L132),"",":")</f>
        <v/>
      </c>
      <c r="AS20" s="428" t="str">
        <f>IF(ISBLANK(fixtures!$K132),"",fixtures!$K132)</f>
        <v/>
      </c>
      <c r="AT20" s="413" t="str">
        <f>IF(ISBLANK(fixtures!$L132),"",IF(AQ20&gt;AS20,"W",IF(AQ20=AS20,"D","L")))</f>
        <v/>
      </c>
      <c r="AU20" s="413"/>
      <c r="AV20" s="413"/>
      <c r="AW20" s="71">
        <v>3</v>
      </c>
      <c r="AX20" s="9" t="s">
        <v>439</v>
      </c>
      <c r="AY20" s="219">
        <f ca="1">IFERROR(INDIRECT("fixtures!" &amp; Dashboard!J1 &amp;134) - Dashboard!K1/24,"TBC")</f>
        <v>45994.833333333336</v>
      </c>
      <c r="AZ20" s="9"/>
      <c r="BA20" s="9" t="s">
        <v>2</v>
      </c>
      <c r="BB20" s="9" t="s">
        <v>93</v>
      </c>
      <c r="BC20" s="71" t="str">
        <f>IF(ISBLANK(fixtures!$K134),"",fixtures!$K134)</f>
        <v/>
      </c>
      <c r="BD20" s="9" t="str">
        <f>IF(ISBLANK(fixtures!$L134),"",":")</f>
        <v/>
      </c>
      <c r="BE20" s="73" t="str">
        <f>IF(ISBLANK(fixtures!$L134),"",fixtures!$L134)</f>
        <v/>
      </c>
      <c r="BF20" s="9" t="str">
        <f>IF(ISBLANK(fixtures!$L134),"",IF(BC20&gt;BE20,"W",IF(BC20=BE20,"D","L")))</f>
        <v/>
      </c>
      <c r="BG20" s="9"/>
      <c r="BH20" s="9"/>
      <c r="BI20" s="436">
        <v>3</v>
      </c>
      <c r="BJ20" s="414" t="s">
        <v>439</v>
      </c>
      <c r="BK20" s="438">
        <f ca="1">IFERROR(INDIRECT("fixtures!" &amp; Dashboard!J1 &amp;135) - Dashboard!K1/24,"TBC")</f>
        <v>45994.833333333336</v>
      </c>
      <c r="BL20" s="414"/>
      <c r="BM20" s="414" t="s">
        <v>7</v>
      </c>
      <c r="BN20" s="414" t="s">
        <v>93</v>
      </c>
      <c r="BO20" s="436" t="str">
        <f>IF(ISBLANK(fixtures!$K135),"",fixtures!$K135)</f>
        <v/>
      </c>
      <c r="BP20" s="414" t="str">
        <f>IF(ISBLANK(fixtures!$L135),"",":")</f>
        <v/>
      </c>
      <c r="BQ20" s="437" t="str">
        <f>IF(ISBLANK(fixtures!$L135),"",fixtures!$L135)</f>
        <v/>
      </c>
      <c r="BR20" s="414" t="str">
        <f>IF(ISBLANK(fixtures!$L135),"",IF(BO20&gt;BQ20,"W",IF(BO20=BQ20,"D","L")))</f>
        <v/>
      </c>
      <c r="BS20" s="414"/>
      <c r="BT20" s="414"/>
      <c r="BU20" s="146">
        <v>3</v>
      </c>
      <c r="BV20" s="13" t="s">
        <v>439</v>
      </c>
      <c r="BW20" s="225">
        <f ca="1">IFERROR(INDIRECT("fixtures!" &amp; Dashboard!J1 &amp;137) - Dashboard!K1/24,"TBC")</f>
        <v>45994.833333333336</v>
      </c>
      <c r="BX20" s="13"/>
      <c r="BY20" s="13" t="s">
        <v>444</v>
      </c>
      <c r="BZ20" s="13" t="s">
        <v>92</v>
      </c>
      <c r="CA20" s="146" t="str">
        <f>IF(ISBLANK(fixtures!$L137),"",fixtures!$L137)</f>
        <v/>
      </c>
      <c r="CB20" s="13" t="str">
        <f>IF(ISBLANK(fixtures!$L137),"",":")</f>
        <v/>
      </c>
      <c r="CC20" s="148" t="str">
        <f>IF(ISBLANK(fixtures!$K137),"",fixtures!$K137)</f>
        <v/>
      </c>
      <c r="CD20" s="13" t="str">
        <f>IF(ISBLANK(fixtures!$L137),"",IF(CA20&gt;CC20,"W",IF(CA20=CC20,"D","L")))</f>
        <v/>
      </c>
      <c r="CE20" s="13"/>
      <c r="CF20" s="13"/>
      <c r="CG20" s="394">
        <v>3</v>
      </c>
      <c r="CH20" s="14" t="s">
        <v>439</v>
      </c>
      <c r="CI20" s="396">
        <f ca="1">IFERROR(INDIRECT("fixtures!" &amp; Dashboard!J1 &amp;135) - Dashboard!K1/24,"TBC")</f>
        <v>45994.833333333336</v>
      </c>
      <c r="CJ20" s="14"/>
      <c r="CK20" s="14" t="s">
        <v>5</v>
      </c>
      <c r="CL20" s="14" t="s">
        <v>92</v>
      </c>
      <c r="CM20" s="394" t="str">
        <f>IF(ISBLANK(fixtures!$L135),"",fixtures!$L135)</f>
        <v/>
      </c>
      <c r="CN20" s="14" t="str">
        <f>IF(ISBLANK(fixtures!$L135),"",":")</f>
        <v/>
      </c>
      <c r="CO20" s="395" t="str">
        <f>IF(ISBLANK(fixtures!$K135),"",fixtures!$K135)</f>
        <v/>
      </c>
      <c r="CP20" s="14" t="str">
        <f>IF(ISBLANK(fixtures!$L135),"",IF(CM20&gt;CO20,"W",IF(CM20=CO20,"D","L")))</f>
        <v/>
      </c>
      <c r="CQ20" s="14"/>
      <c r="CR20" s="14"/>
      <c r="CS20" s="231">
        <v>3</v>
      </c>
      <c r="CT20" s="17" t="s">
        <v>439</v>
      </c>
      <c r="CU20" s="233">
        <f ca="1">IFERROR(INDIRECT("fixtures!" &amp; Dashboard!J1 &amp;133) - Dashboard!K1/24,"TBC")</f>
        <v>45994.833333333336</v>
      </c>
      <c r="CV20" s="17"/>
      <c r="CW20" s="17" t="s">
        <v>3</v>
      </c>
      <c r="CX20" s="17" t="s">
        <v>92</v>
      </c>
      <c r="CY20" s="231" t="str">
        <f>IF(ISBLANK(fixtures!$L133),"",fixtures!$L133)</f>
        <v/>
      </c>
      <c r="CZ20" s="17" t="str">
        <f>IF(ISBLANK(fixtures!$L133),"",":")</f>
        <v/>
      </c>
      <c r="DA20" s="232" t="str">
        <f>IF(ISBLANK(fixtures!$K133),"",fixtures!$K133)</f>
        <v/>
      </c>
      <c r="DB20" s="17" t="str">
        <f>IF(ISBLANK(fixtures!$L133),"",IF(CY20&gt;DA20,"W",IF(CY20=DA20,"D","L")))</f>
        <v/>
      </c>
      <c r="DC20" s="17"/>
      <c r="DD20" s="17"/>
      <c r="DE20" s="444">
        <v>3</v>
      </c>
      <c r="DF20" s="143" t="s">
        <v>439</v>
      </c>
      <c r="DG20" s="446">
        <f ca="1">IFERROR(INDIRECT("fixtures!" &amp; Dashboard!J1 &amp;136) - Dashboard!K1/24,"TBC")</f>
        <v>45994.833333333336</v>
      </c>
      <c r="DH20" s="143"/>
      <c r="DI20" s="143" t="s">
        <v>10</v>
      </c>
      <c r="DJ20" s="143" t="s">
        <v>93</v>
      </c>
      <c r="DK20" s="444" t="str">
        <f>IF(ISBLANK(fixtures!$K136),"",fixtures!$K136)</f>
        <v/>
      </c>
      <c r="DL20" s="143" t="str">
        <f>IF(ISBLANK(fixtures!$L136),"",":")</f>
        <v/>
      </c>
      <c r="DM20" s="445" t="str">
        <f>IF(ISBLANK(fixtures!$L136),"",fixtures!$L136)</f>
        <v/>
      </c>
      <c r="DN20" s="143" t="str">
        <f>IF(ISBLANK(fixtures!$L136),"",IF(DK20&gt;DM20,"W",IF(DK20=DM20,"D","L")))</f>
        <v/>
      </c>
      <c r="DO20" s="143"/>
      <c r="DP20" s="143"/>
      <c r="DQ20" s="382">
        <v>3</v>
      </c>
      <c r="DR20" s="380" t="s">
        <v>439</v>
      </c>
      <c r="DS20" s="384">
        <f ca="1">IFERROR(INDIRECT("fixtures!" &amp; Dashboard!J1 &amp;137) - Dashboard!K1/24,"TBC")</f>
        <v>45994.833333333336</v>
      </c>
      <c r="DT20" s="380"/>
      <c r="DU20" s="380" t="s">
        <v>6</v>
      </c>
      <c r="DV20" s="380" t="s">
        <v>93</v>
      </c>
      <c r="DW20" s="382" t="str">
        <f>IF(ISBLANK(fixtures!$K137),"",fixtures!$K137)</f>
        <v/>
      </c>
      <c r="DX20" s="380" t="str">
        <f>IF(ISBLANK(fixtures!$L137),"",":")</f>
        <v/>
      </c>
      <c r="DY20" s="383" t="str">
        <f>IF(ISBLANK(fixtures!$L137),"",fixtures!$L137)</f>
        <v/>
      </c>
      <c r="DZ20" s="380" t="str">
        <f>IF(ISBLANK(fixtures!$L137),"",IF(DW20&gt;DY20,"W",IF(DW20=DY20,"D","L")))</f>
        <v/>
      </c>
      <c r="EA20" s="380"/>
      <c r="EB20" s="380"/>
      <c r="EC20" s="207">
        <v>3</v>
      </c>
      <c r="ED20" s="19" t="s">
        <v>439</v>
      </c>
      <c r="EE20" s="239">
        <f ca="1">IFERROR(INDIRECT("fixtures!" &amp; Dashboard!J1 &amp;138) - Dashboard!K1/24,"TBC")</f>
        <v>45994.833333333336</v>
      </c>
      <c r="EF20" s="19"/>
      <c r="EG20" s="19" t="s">
        <v>443</v>
      </c>
      <c r="EH20" s="19" t="s">
        <v>93</v>
      </c>
      <c r="EI20" s="207" t="str">
        <f>IF(ISBLANK(fixtures!$K138),"",fixtures!$K138)</f>
        <v/>
      </c>
      <c r="EJ20" s="19" t="str">
        <f>IF(ISBLANK(fixtures!$L138),"",":")</f>
        <v/>
      </c>
      <c r="EK20" s="209" t="str">
        <f>IF(ISBLANK(fixtures!$L138),"",fixtures!$L138)</f>
        <v/>
      </c>
      <c r="EL20" s="19" t="str">
        <f>IF(ISBLANK(fixtures!$L138),"",IF(EI20&gt;EK20,"W",IF(EI20=EK20,"D","L")))</f>
        <v/>
      </c>
      <c r="EM20" s="19"/>
      <c r="EN20" s="19"/>
      <c r="EO20" s="80">
        <v>3</v>
      </c>
      <c r="EP20" s="21" t="s">
        <v>439</v>
      </c>
      <c r="EQ20" s="245">
        <f ca="1">IFERROR(INDIRECT("fixtures!" &amp; Dashboard!J1 &amp;136) - Dashboard!K1/24,"TBC")</f>
        <v>45994.833333333336</v>
      </c>
      <c r="ER20" s="21"/>
      <c r="ES20" s="21" t="s">
        <v>108</v>
      </c>
      <c r="ET20" s="21" t="s">
        <v>92</v>
      </c>
      <c r="EU20" s="80" t="str">
        <f>IF(ISBLANK(fixtures!$L136),"",fixtures!$L136)</f>
        <v/>
      </c>
      <c r="EV20" s="21" t="str">
        <f>IF(ISBLANK(fixtures!$L136),"",":")</f>
        <v/>
      </c>
      <c r="EW20" s="82" t="str">
        <f>IF(ISBLANK(fixtures!$K136),"",fixtures!$K136)</f>
        <v/>
      </c>
      <c r="EX20" s="21" t="str">
        <f>IF(ISBLANK(fixtures!$L136),"",IF(EU20&gt;EW20,"W",IF(EU20=EW20,"D","L")))</f>
        <v/>
      </c>
      <c r="EY20" s="21"/>
      <c r="EZ20" s="21"/>
      <c r="FA20" s="251">
        <v>3</v>
      </c>
      <c r="FB20" s="23" t="s">
        <v>439</v>
      </c>
      <c r="FC20" s="253">
        <f ca="1">IFERROR(INDIRECT("fixtures!" &amp; Dashboard!J1 &amp;139) - Dashboard!K1/24,"TBC")</f>
        <v>45994.833333333336</v>
      </c>
      <c r="FD20" s="23"/>
      <c r="FE20" s="23" t="s">
        <v>14</v>
      </c>
      <c r="FF20" s="23" t="s">
        <v>93</v>
      </c>
      <c r="FG20" s="251" t="str">
        <f>IF(ISBLANK(fixtures!$K139),"",fixtures!$K139)</f>
        <v/>
      </c>
      <c r="FH20" s="23" t="str">
        <f>IF(ISBLANK(fixtures!$L139),"",":")</f>
        <v/>
      </c>
      <c r="FI20" s="252" t="str">
        <f>IF(ISBLANK(fixtures!$L139),"",fixtures!$L139)</f>
        <v/>
      </c>
      <c r="FJ20" s="23" t="str">
        <f>IF(ISBLANK(fixtures!$L139),"",IF(FG20&gt;FI20,"W",IF(FG20=FI20,"D","L")))</f>
        <v/>
      </c>
      <c r="FK20" s="23"/>
      <c r="FL20" s="23"/>
      <c r="FM20" s="85">
        <v>3</v>
      </c>
      <c r="FN20" s="25" t="s">
        <v>439</v>
      </c>
      <c r="FO20" s="259">
        <f ca="1">IFERROR(INDIRECT("fixtures!" &amp; Dashboard!J1 &amp;140) - Dashboard!K1/24,"TBC")</f>
        <v>45994.833333333336</v>
      </c>
      <c r="FP20" s="25"/>
      <c r="FQ20" s="25" t="s">
        <v>13</v>
      </c>
      <c r="FR20" s="25" t="s">
        <v>93</v>
      </c>
      <c r="FS20" s="85" t="str">
        <f>IF(ISBLANK(fixtures!$K140),"",fixtures!$K140)</f>
        <v/>
      </c>
      <c r="FT20" s="25" t="str">
        <f>IF(ISBLANK(fixtures!$L140),"",":")</f>
        <v/>
      </c>
      <c r="FU20" s="87" t="str">
        <f>IF(ISBLANK(fixtures!$L140),"",fixtures!$L140)</f>
        <v/>
      </c>
      <c r="FV20" s="25" t="str">
        <f>IF(ISBLANK(fixtures!$L140),"",IF(FS20&gt;FU20,"W",IF(FS20=FU20,"D","L")))</f>
        <v/>
      </c>
      <c r="FW20" s="25"/>
      <c r="FX20" s="25"/>
      <c r="FY20" s="402">
        <v>3</v>
      </c>
      <c r="FZ20" s="390" t="s">
        <v>439</v>
      </c>
      <c r="GA20" s="404">
        <f ca="1">IFERROR(INDIRECT("fixtures!" &amp; Dashboard!J1 &amp;141) - Dashboard!K1/24,"TBC")</f>
        <v>45994.833333333336</v>
      </c>
      <c r="GB20" s="390"/>
      <c r="GC20" s="390" t="s">
        <v>15</v>
      </c>
      <c r="GD20" s="390" t="s">
        <v>92</v>
      </c>
      <c r="GE20" s="402" t="str">
        <f>IF(ISBLANK(fixtures!$L141),"",fixtures!$L141)</f>
        <v/>
      </c>
      <c r="GF20" s="390" t="str">
        <f>IF(ISBLANK(fixtures!$L141),"",":")</f>
        <v/>
      </c>
      <c r="GG20" s="403" t="str">
        <f>IF(ISBLANK(fixtures!$K141),"",fixtures!$K141)</f>
        <v/>
      </c>
      <c r="GH20" s="390" t="str">
        <f>IF(ISBLANK(fixtures!$L141),"",IF(GE20&gt;GG20,"W",IF(GE20=GG20,"D","L")))</f>
        <v/>
      </c>
      <c r="GI20" s="390"/>
      <c r="GJ20" s="390"/>
      <c r="GK20" s="89">
        <v>3</v>
      </c>
      <c r="GL20" s="27" t="s">
        <v>439</v>
      </c>
      <c r="GM20" s="266">
        <f ca="1">IFERROR(INDIRECT("fixtures!" &amp; Dashboard!J1 &amp;140) - Dashboard!K1/24,"TBC")</f>
        <v>45994.833333333336</v>
      </c>
      <c r="GN20" s="27"/>
      <c r="GO20" s="27" t="s">
        <v>12</v>
      </c>
      <c r="GP20" s="27" t="s">
        <v>92</v>
      </c>
      <c r="GQ20" s="89" t="str">
        <f>IF(ISBLANK(fixtures!$L140),"",fixtures!$L140)</f>
        <v/>
      </c>
      <c r="GR20" s="27" t="str">
        <f>IF(ISBLANK(fixtures!$L140),"",":")</f>
        <v/>
      </c>
      <c r="GS20" s="90" t="str">
        <f>IF(ISBLANK(fixtures!$K140),"",fixtures!$K140)</f>
        <v/>
      </c>
      <c r="GT20" s="27" t="str">
        <f>IF(ISBLANK(fixtures!$L140),"",IF(GQ20&gt;GS20,"W",IF(GQ20=GS20,"D","L")))</f>
        <v/>
      </c>
      <c r="GU20" s="27"/>
      <c r="GV20" s="27"/>
      <c r="GW20" s="382">
        <v>3</v>
      </c>
      <c r="GX20" s="380" t="s">
        <v>439</v>
      </c>
      <c r="GY20" s="384">
        <f ca="1">IFERROR(INDIRECT("fixtures!" &amp; Dashboard!J1 &amp;138) - Dashboard!K1/24,"TBC")</f>
        <v>45994.833333333336</v>
      </c>
      <c r="GZ20" s="380"/>
      <c r="HA20" s="380" t="s">
        <v>9</v>
      </c>
      <c r="HB20" s="380" t="s">
        <v>92</v>
      </c>
      <c r="HC20" s="382" t="str">
        <f>IF(ISBLANK(fixtures!$L138),"",fixtures!$L138)</f>
        <v/>
      </c>
      <c r="HD20" s="380" t="str">
        <f>IF(ISBLANK(fixtures!$L138),"",":")</f>
        <v/>
      </c>
      <c r="HE20" s="383" t="str">
        <f>IF(ISBLANK(fixtures!$K138),"",fixtures!$K138)</f>
        <v/>
      </c>
      <c r="HF20" s="380" t="str">
        <f>IF(ISBLANK(fixtures!$L138),"",IF(HC20&gt;HE20,"W",IF(HC20=HE20,"D","L")))</f>
        <v/>
      </c>
      <c r="HG20" s="380"/>
      <c r="HH20" s="380"/>
      <c r="HI20" s="92">
        <v>3</v>
      </c>
      <c r="HJ20" s="29" t="s">
        <v>439</v>
      </c>
      <c r="HK20" s="272">
        <f ca="1">IFERROR(INDIRECT("fixtures!" &amp; Dashboard!J1 &amp;139) - Dashboard!K1/24,"TBC")</f>
        <v>45994.833333333336</v>
      </c>
      <c r="HL20" s="29"/>
      <c r="HM20" s="29" t="s">
        <v>11</v>
      </c>
      <c r="HN20" s="29" t="s">
        <v>92</v>
      </c>
      <c r="HO20" s="92" t="str">
        <f>IF(ISBLANK(fixtures!$L139),"",fixtures!$L139)</f>
        <v/>
      </c>
      <c r="HP20" s="29" t="str">
        <f>IF(ISBLANK(fixtures!$L139),"",":")</f>
        <v/>
      </c>
      <c r="HQ20" s="94" t="str">
        <f>IF(ISBLANK(fixtures!$K139),"",fixtures!$K139)</f>
        <v/>
      </c>
      <c r="HR20" s="29" t="str">
        <f>IF(ISBLANK(fixtures!$L139),"",IF(HO20&gt;HQ20,"W",IF(HO20=HQ20,"D","L")))</f>
        <v/>
      </c>
      <c r="HS20" s="29"/>
      <c r="HT20" s="29"/>
      <c r="HU20" s="97">
        <v>3</v>
      </c>
      <c r="HV20" s="31" t="s">
        <v>439</v>
      </c>
      <c r="HW20" s="278">
        <f ca="1">IFERROR(INDIRECT("fixtures!" &amp; Dashboard!J1 &amp;141) - Dashboard!K1/24,"TBC")</f>
        <v>45994.833333333336</v>
      </c>
      <c r="HX20" s="31"/>
      <c r="HY20" s="31" t="s">
        <v>188</v>
      </c>
      <c r="HZ20" s="31" t="s">
        <v>93</v>
      </c>
      <c r="IA20" s="97" t="str">
        <f>IF(ISBLANK(fixtures!$K141),"",fixtures!$K141)</f>
        <v/>
      </c>
      <c r="IB20" s="31" t="str">
        <f>IF(ISBLANK(fixtures!$L141),"",":")</f>
        <v/>
      </c>
      <c r="IC20" s="99" t="str">
        <f>IF(ISBLANK(fixtures!$L141),"",fixtures!$L141)</f>
        <v/>
      </c>
      <c r="ID20" s="31" t="str">
        <f>IF(ISBLANK(fixtures!$L141),"",IF(IA20&gt;IC20,"W",IF(IA20=IC20,"D","L")))</f>
        <v/>
      </c>
      <c r="IE20" s="31"/>
      <c r="IF20" s="31"/>
    </row>
    <row r="21" spans="1:243">
      <c r="A21" s="66">
        <v>6</v>
      </c>
      <c r="B21" s="6" t="s">
        <v>218</v>
      </c>
      <c r="C21" s="214">
        <f ca="1">IFERROR(INDIRECT("fixtures!" &amp; Dashboard!J1 &amp;142) - Dashboard!K1/24,"TBC")</f>
        <v>45997.625</v>
      </c>
      <c r="D21" s="6"/>
      <c r="E21" s="6" t="s">
        <v>2</v>
      </c>
      <c r="F21" s="6" t="s">
        <v>92</v>
      </c>
      <c r="G21" s="66" t="str">
        <f>IF(ISBLANK(fixtures!$L142),"",fixtures!$L142)</f>
        <v/>
      </c>
      <c r="H21" s="6" t="str">
        <f>IF(ISBLANK(fixtures!$L142),"",":")</f>
        <v/>
      </c>
      <c r="I21" s="68" t="str">
        <f>IF(ISBLANK(fixtures!$K142),"",fixtures!$K142)</f>
        <v/>
      </c>
      <c r="J21" s="6" t="str">
        <f>IF(ISBLANK(fixtures!$L142),"",IF(G21&gt;I21,"W",IF(G21=I21,"D","L")))</f>
        <v/>
      </c>
      <c r="K21" s="6"/>
      <c r="L21" s="6"/>
      <c r="M21" s="382">
        <v>6</v>
      </c>
      <c r="N21" s="380" t="s">
        <v>218</v>
      </c>
      <c r="O21" s="384">
        <f ca="1">IFERROR(INDIRECT("fixtures!" &amp; Dashboard!J1 &amp;142) - Dashboard!K1/24,"TBC")</f>
        <v>45997.625</v>
      </c>
      <c r="P21" s="380"/>
      <c r="Q21" s="380" t="s">
        <v>1</v>
      </c>
      <c r="R21" s="380" t="s">
        <v>93</v>
      </c>
      <c r="S21" s="382" t="str">
        <f>IF(ISBLANK(fixtures!$K142),"",fixtures!$K142)</f>
        <v/>
      </c>
      <c r="T21" s="380" t="str">
        <f>IF(ISBLANK(fixtures!$L142),"",":")</f>
        <v/>
      </c>
      <c r="U21" s="383" t="str">
        <f>IF(ISBLANK(fixtures!$L142),"",fixtures!$L142)</f>
        <v/>
      </c>
      <c r="V21" s="380" t="str">
        <f>IF(ISBLANK(fixtures!$L142),"",IF(S21&gt;U21,"W",IF(S21=U21,"D","L")))</f>
        <v/>
      </c>
      <c r="W21" s="380"/>
      <c r="X21" s="380"/>
      <c r="Y21" s="418">
        <v>6</v>
      </c>
      <c r="Z21" s="412" t="s">
        <v>218</v>
      </c>
      <c r="AA21" s="420">
        <f ca="1">IFERROR(INDIRECT("fixtures!" &amp; Dashboard!J1 &amp;143) - Dashboard!K1/24,"TBC")</f>
        <v>45997.625</v>
      </c>
      <c r="AB21" s="412"/>
      <c r="AC21" s="412" t="s">
        <v>6</v>
      </c>
      <c r="AD21" s="412" t="s">
        <v>93</v>
      </c>
      <c r="AE21" s="418" t="str">
        <f>IF(ISBLANK(fixtures!$K143),"",fixtures!$K143)</f>
        <v/>
      </c>
      <c r="AF21" s="412" t="str">
        <f>IF(ISBLANK(fixtures!$L143),"",":")</f>
        <v/>
      </c>
      <c r="AG21" s="419" t="str">
        <f>IF(ISBLANK(fixtures!$L143),"",fixtures!$L143)</f>
        <v/>
      </c>
      <c r="AH21" s="412" t="str">
        <f>IF(ISBLANK(fixtures!$L143),"",IF(AE21&gt;AG21,"W",IF(AE21=AG21,"D","L")))</f>
        <v/>
      </c>
      <c r="AI21" s="412"/>
      <c r="AJ21" s="412"/>
      <c r="AK21" s="427">
        <v>6</v>
      </c>
      <c r="AL21" s="413" t="s">
        <v>218</v>
      </c>
      <c r="AM21" s="429">
        <f ca="1">IFERROR(INDIRECT("fixtures!" &amp; Dashboard!J1 &amp;150) - Dashboard!K1/24,"TBC")</f>
        <v>45997.625</v>
      </c>
      <c r="AN21" s="413"/>
      <c r="AO21" s="413" t="s">
        <v>13</v>
      </c>
      <c r="AP21" s="413" t="s">
        <v>92</v>
      </c>
      <c r="AQ21" s="427" t="str">
        <f>IF(ISBLANK(fixtures!$L150),"",fixtures!$L150)</f>
        <v/>
      </c>
      <c r="AR21" s="413" t="str">
        <f>IF(ISBLANK(fixtures!$L150),"",":")</f>
        <v/>
      </c>
      <c r="AS21" s="428" t="str">
        <f>IF(ISBLANK(fixtures!$K150),"",fixtures!$K150)</f>
        <v/>
      </c>
      <c r="AT21" s="413" t="str">
        <f>IF(ISBLANK(fixtures!$L150),"",IF(AQ21&gt;AS21,"W",IF(AQ21=AS21,"D","L")))</f>
        <v/>
      </c>
      <c r="AU21" s="413"/>
      <c r="AV21" s="413"/>
      <c r="AW21" s="71">
        <v>6</v>
      </c>
      <c r="AX21" s="9" t="s">
        <v>218</v>
      </c>
      <c r="AY21" s="219">
        <f ca="1">IFERROR(INDIRECT("fixtures!" &amp; Dashboard!J1 &amp;144) - Dashboard!K1/24,"TBC")</f>
        <v>45997.625</v>
      </c>
      <c r="AZ21" s="9"/>
      <c r="BA21" s="9" t="s">
        <v>14</v>
      </c>
      <c r="BB21" s="9" t="s">
        <v>93</v>
      </c>
      <c r="BC21" s="71" t="str">
        <f>IF(ISBLANK(fixtures!$K144),"",fixtures!$K144)</f>
        <v/>
      </c>
      <c r="BD21" s="9" t="str">
        <f>IF(ISBLANK(fixtures!$L144),"",":")</f>
        <v/>
      </c>
      <c r="BE21" s="73" t="str">
        <f>IF(ISBLANK(fixtures!$L144),"",fixtures!$L144)</f>
        <v/>
      </c>
      <c r="BF21" s="9" t="str">
        <f>IF(ISBLANK(fixtures!$L144),"",IF(BC21&gt;BE21,"W",IF(BC21=BE21,"D","L")))</f>
        <v/>
      </c>
      <c r="BG21" s="9"/>
      <c r="BH21" s="9"/>
      <c r="BI21" s="436">
        <v>6</v>
      </c>
      <c r="BJ21" s="414" t="s">
        <v>218</v>
      </c>
      <c r="BK21" s="438">
        <f ca="1">IFERROR(INDIRECT("fixtures!" &amp; Dashboard!J1 &amp;149) - Dashboard!K1/24,"TBC")</f>
        <v>45997.625</v>
      </c>
      <c r="BL21" s="414"/>
      <c r="BM21" s="414" t="s">
        <v>12</v>
      </c>
      <c r="BN21" s="414" t="s">
        <v>92</v>
      </c>
      <c r="BO21" s="436" t="str">
        <f>IF(ISBLANK(fixtures!$L149),"",fixtures!$L149)</f>
        <v/>
      </c>
      <c r="BP21" s="414" t="str">
        <f>IF(ISBLANK(fixtures!$L149),"",":")</f>
        <v/>
      </c>
      <c r="BQ21" s="437" t="str">
        <f>IF(ISBLANK(fixtures!$K149),"",fixtures!$K149)</f>
        <v/>
      </c>
      <c r="BR21" s="414" t="str">
        <f>IF(ISBLANK(fixtures!$L149),"",IF(BO21&gt;BQ21,"W",IF(BO21=BQ21,"D","L")))</f>
        <v/>
      </c>
      <c r="BS21" s="414"/>
      <c r="BT21" s="414"/>
      <c r="BU21" s="146">
        <v>6</v>
      </c>
      <c r="BV21" s="13" t="s">
        <v>218</v>
      </c>
      <c r="BW21" s="225">
        <f ca="1">IFERROR(INDIRECT("fixtures!" &amp; Dashboard!J1 &amp;143) - Dashboard!K1/24,"TBC")</f>
        <v>45997.625</v>
      </c>
      <c r="BX21" s="13"/>
      <c r="BY21" s="13" t="s">
        <v>3</v>
      </c>
      <c r="BZ21" s="13" t="s">
        <v>92</v>
      </c>
      <c r="CA21" s="146" t="str">
        <f>IF(ISBLANK(fixtures!$L143),"",fixtures!$L143)</f>
        <v/>
      </c>
      <c r="CB21" s="13" t="str">
        <f>IF(ISBLANK(fixtures!$L143),"",":")</f>
        <v/>
      </c>
      <c r="CC21" s="148" t="str">
        <f>IF(ISBLANK(fixtures!$K143),"",fixtures!$K143)</f>
        <v/>
      </c>
      <c r="CD21" s="13" t="str">
        <f>IF(ISBLANK(fixtures!$L143),"",IF(CA21&gt;CC21,"W",IF(CA21=CC21,"D","L")))</f>
        <v/>
      </c>
      <c r="CE21" s="13"/>
      <c r="CF21" s="13"/>
      <c r="CG21" s="394">
        <v>6</v>
      </c>
      <c r="CH21" s="14" t="s">
        <v>218</v>
      </c>
      <c r="CI21" s="396">
        <f ca="1">IFERROR(INDIRECT("fixtures!" &amp; Dashboard!J1 &amp;146) - Dashboard!K1/24,"TBC")</f>
        <v>45997.625</v>
      </c>
      <c r="CJ21" s="14"/>
      <c r="CK21" s="14" t="s">
        <v>108</v>
      </c>
      <c r="CL21" s="14" t="s">
        <v>92</v>
      </c>
      <c r="CM21" s="394" t="str">
        <f>IF(ISBLANK(fixtures!$L146),"",fixtures!$L146)</f>
        <v/>
      </c>
      <c r="CN21" s="14" t="str">
        <f>IF(ISBLANK(fixtures!$L146),"",":")</f>
        <v/>
      </c>
      <c r="CO21" s="395" t="str">
        <f>IF(ISBLANK(fixtures!$K146),"",fixtures!$K146)</f>
        <v/>
      </c>
      <c r="CP21" s="14" t="str">
        <f>IF(ISBLANK(fixtures!$L146),"",IF(CM21&gt;CO21,"W",IF(CM21=CO21,"D","L")))</f>
        <v/>
      </c>
      <c r="CQ21" s="14"/>
      <c r="CR21" s="14"/>
      <c r="CS21" s="231">
        <v>6</v>
      </c>
      <c r="CT21" s="17" t="s">
        <v>218</v>
      </c>
      <c r="CU21" s="233">
        <f ca="1">IFERROR(INDIRECT("fixtures!" &amp; Dashboard!J1 &amp;145) - Dashboard!K1/24,"TBC")</f>
        <v>45997.625</v>
      </c>
      <c r="CV21" s="17"/>
      <c r="CW21" s="17" t="s">
        <v>188</v>
      </c>
      <c r="CX21" s="17" t="s">
        <v>93</v>
      </c>
      <c r="CY21" s="231" t="str">
        <f>IF(ISBLANK(fixtures!$K145),"",fixtures!$K145)</f>
        <v/>
      </c>
      <c r="CZ21" s="17" t="str">
        <f>IF(ISBLANK(fixtures!$L145),"",":")</f>
        <v/>
      </c>
      <c r="DA21" s="232" t="str">
        <f>IF(ISBLANK(fixtures!$L145),"",fixtures!$L145)</f>
        <v/>
      </c>
      <c r="DB21" s="17" t="str">
        <f>IF(ISBLANK(fixtures!$L145),"",IF(CY21&gt;DA21,"W",IF(CY21=DA21,"D","L")))</f>
        <v/>
      </c>
      <c r="DC21" s="17"/>
      <c r="DD21" s="17"/>
      <c r="DE21" s="444">
        <v>6</v>
      </c>
      <c r="DF21" s="143" t="s">
        <v>218</v>
      </c>
      <c r="DG21" s="446">
        <f ca="1">IFERROR(INDIRECT("fixtures!" &amp; Dashboard!J1 &amp;146) - Dashboard!K1/24,"TBC")</f>
        <v>45997.625</v>
      </c>
      <c r="DH21" s="143"/>
      <c r="DI21" s="143" t="s">
        <v>7</v>
      </c>
      <c r="DJ21" s="143" t="s">
        <v>93</v>
      </c>
      <c r="DK21" s="444" t="str">
        <f>IF(ISBLANK(fixtures!$K146),"",fixtures!$K146)</f>
        <v/>
      </c>
      <c r="DL21" s="143" t="str">
        <f>IF(ISBLANK(fixtures!$L146),"",":")</f>
        <v/>
      </c>
      <c r="DM21" s="445" t="str">
        <f>IF(ISBLANK(fixtures!$L146),"",fixtures!$L146)</f>
        <v/>
      </c>
      <c r="DN21" s="143" t="str">
        <f>IF(ISBLANK(fixtures!$L146),"",IF(DK21&gt;DM21,"W",IF(DK21=DM21,"D","L")))</f>
        <v/>
      </c>
      <c r="DO21" s="143"/>
      <c r="DP21" s="143"/>
      <c r="DQ21" s="382">
        <v>6</v>
      </c>
      <c r="DR21" s="380" t="s">
        <v>218</v>
      </c>
      <c r="DS21" s="384">
        <f ca="1">IFERROR(INDIRECT("fixtures!" &amp; Dashboard!J1 &amp;147) - Dashboard!K1/24,"TBC")</f>
        <v>45997.625</v>
      </c>
      <c r="DT21" s="380"/>
      <c r="DU21" s="380" t="s">
        <v>9</v>
      </c>
      <c r="DV21" s="380" t="s">
        <v>93</v>
      </c>
      <c r="DW21" s="382" t="str">
        <f>IF(ISBLANK(fixtures!$K147),"",fixtures!$K147)</f>
        <v/>
      </c>
      <c r="DX21" s="380" t="str">
        <f>IF(ISBLANK(fixtures!$L147),"",":")</f>
        <v/>
      </c>
      <c r="DY21" s="383" t="str">
        <f>IF(ISBLANK(fixtures!$L147),"",fixtures!$L147)</f>
        <v/>
      </c>
      <c r="DZ21" s="380" t="str">
        <f>IF(ISBLANK(fixtures!$L147),"",IF(DW21&gt;DY21,"W",IF(DW21=DY21,"D","L")))</f>
        <v/>
      </c>
      <c r="EA21" s="380"/>
      <c r="EB21" s="380"/>
      <c r="EC21" s="207">
        <v>6</v>
      </c>
      <c r="ED21" s="19" t="s">
        <v>218</v>
      </c>
      <c r="EE21" s="239">
        <f ca="1">IFERROR(INDIRECT("fixtures!" &amp; Dashboard!J1 &amp;147) - Dashboard!K1/24,"TBC")</f>
        <v>45997.625</v>
      </c>
      <c r="EF21" s="19"/>
      <c r="EG21" s="19" t="s">
        <v>444</v>
      </c>
      <c r="EH21" s="19" t="s">
        <v>92</v>
      </c>
      <c r="EI21" s="207" t="str">
        <f>IF(ISBLANK(fixtures!$L147),"",fixtures!$L147)</f>
        <v/>
      </c>
      <c r="EJ21" s="19" t="str">
        <f>IF(ISBLANK(fixtures!$L147),"",":")</f>
        <v/>
      </c>
      <c r="EK21" s="209" t="str">
        <f>IF(ISBLANK(fixtures!$K147),"",fixtures!$K147)</f>
        <v/>
      </c>
      <c r="EL21" s="19" t="str">
        <f>IF(ISBLANK(fixtures!$L147),"",IF(EI21&gt;EK21,"W",IF(EI21=EK21,"D","L")))</f>
        <v/>
      </c>
      <c r="EM21" s="19"/>
      <c r="EN21" s="19"/>
      <c r="EO21" s="80">
        <v>6</v>
      </c>
      <c r="EP21" s="21" t="s">
        <v>218</v>
      </c>
      <c r="EQ21" s="245">
        <f ca="1">IFERROR(INDIRECT("fixtures!" &amp; Dashboard!J1 &amp;148) - Dashboard!K1/24,"TBC")</f>
        <v>45997.625</v>
      </c>
      <c r="ER21" s="21"/>
      <c r="ES21" s="21" t="s">
        <v>443</v>
      </c>
      <c r="ET21" s="21" t="s">
        <v>93</v>
      </c>
      <c r="EU21" s="80" t="str">
        <f>IF(ISBLANK(fixtures!$K148),"",fixtures!$K148)</f>
        <v/>
      </c>
      <c r="EV21" s="21" t="str">
        <f>IF(ISBLANK(fixtures!$L148),"",":")</f>
        <v/>
      </c>
      <c r="EW21" s="82" t="str">
        <f>IF(ISBLANK(fixtures!$L148),"",fixtures!$L148)</f>
        <v/>
      </c>
      <c r="EX21" s="21" t="str">
        <f>IF(ISBLANK(fixtures!$L148),"",IF(EU21&gt;EW21,"W",IF(EU21=EW21,"D","L")))</f>
        <v/>
      </c>
      <c r="EY21" s="21"/>
      <c r="EZ21" s="21"/>
      <c r="FA21" s="251">
        <v>6</v>
      </c>
      <c r="FB21" s="23" t="s">
        <v>218</v>
      </c>
      <c r="FC21" s="253">
        <f ca="1">IFERROR(INDIRECT("fixtures!" &amp; Dashboard!J1 &amp;151) - Dashboard!K1/24,"TBC")</f>
        <v>45997.625</v>
      </c>
      <c r="FD21" s="23"/>
      <c r="FE21" s="23" t="s">
        <v>15</v>
      </c>
      <c r="FF21" s="23" t="s">
        <v>92</v>
      </c>
      <c r="FG21" s="251" t="str">
        <f>IF(ISBLANK(fixtures!$L151),"",fixtures!$L151)</f>
        <v/>
      </c>
      <c r="FH21" s="23" t="str">
        <f>IF(ISBLANK(fixtures!$L151),"",":")</f>
        <v/>
      </c>
      <c r="FI21" s="252" t="str">
        <f>IF(ISBLANK(fixtures!$K151),"",fixtures!$K151)</f>
        <v/>
      </c>
      <c r="FJ21" s="23" t="str">
        <f>IF(ISBLANK(fixtures!$L151),"",IF(FG21&gt;FI21,"W",IF(FG21=FI21,"D","L")))</f>
        <v/>
      </c>
      <c r="FK21" s="23"/>
      <c r="FL21" s="23"/>
      <c r="FM21" s="85">
        <v>6</v>
      </c>
      <c r="FN21" s="25" t="s">
        <v>218</v>
      </c>
      <c r="FO21" s="259">
        <f ca="1">IFERROR(INDIRECT("fixtures!" &amp; Dashboard!J1 &amp;149) - Dashboard!K1/24,"TBC")</f>
        <v>45997.625</v>
      </c>
      <c r="FP21" s="25"/>
      <c r="FQ21" s="25" t="s">
        <v>5</v>
      </c>
      <c r="FR21" s="25" t="s">
        <v>93</v>
      </c>
      <c r="FS21" s="85" t="str">
        <f>IF(ISBLANK(fixtures!$K149),"",fixtures!$K149)</f>
        <v/>
      </c>
      <c r="FT21" s="25" t="str">
        <f>IF(ISBLANK(fixtures!$L149),"",":")</f>
        <v/>
      </c>
      <c r="FU21" s="87" t="str">
        <f>IF(ISBLANK(fixtures!$L149),"",fixtures!$L149)</f>
        <v/>
      </c>
      <c r="FV21" s="25" t="str">
        <f>IF(ISBLANK(fixtures!$L149),"",IF(FS21&gt;FU21,"W",IF(FS21=FU21,"D","L")))</f>
        <v/>
      </c>
      <c r="FW21" s="25"/>
      <c r="FX21" s="25"/>
      <c r="FY21" s="402">
        <v>6</v>
      </c>
      <c r="FZ21" s="390" t="s">
        <v>218</v>
      </c>
      <c r="GA21" s="404">
        <f ca="1">IFERROR(INDIRECT("fixtures!" &amp; Dashboard!J1 &amp;145) - Dashboard!K1/24,"TBC")</f>
        <v>45997.625</v>
      </c>
      <c r="GB21" s="390"/>
      <c r="GC21" s="390" t="s">
        <v>8</v>
      </c>
      <c r="GD21" s="390" t="s">
        <v>92</v>
      </c>
      <c r="GE21" s="402" t="str">
        <f>IF(ISBLANK(fixtures!$L145),"",fixtures!$L145)</f>
        <v/>
      </c>
      <c r="GF21" s="390" t="str">
        <f>IF(ISBLANK(fixtures!$L145),"",":")</f>
        <v/>
      </c>
      <c r="GG21" s="403" t="str">
        <f>IF(ISBLANK(fixtures!$K145),"",fixtures!$K145)</f>
        <v/>
      </c>
      <c r="GH21" s="390" t="str">
        <f>IF(ISBLANK(fixtures!$L145),"",IF(GE21&gt;GG21,"W",IF(GE21=GG21,"D","L")))</f>
        <v/>
      </c>
      <c r="GI21" s="390"/>
      <c r="GJ21" s="390"/>
      <c r="GK21" s="89">
        <v>6</v>
      </c>
      <c r="GL21" s="27" t="s">
        <v>218</v>
      </c>
      <c r="GM21" s="266">
        <f ca="1">IFERROR(INDIRECT("fixtures!" &amp; Dashboard!J1 &amp;150) - Dashboard!K1/24,"TBC")</f>
        <v>45997.625</v>
      </c>
      <c r="GN21" s="27"/>
      <c r="GO21" s="27" t="s">
        <v>107</v>
      </c>
      <c r="GP21" s="27" t="s">
        <v>93</v>
      </c>
      <c r="GQ21" s="89" t="str">
        <f>IF(ISBLANK(fixtures!$K150),"",fixtures!$K150)</f>
        <v/>
      </c>
      <c r="GR21" s="27" t="str">
        <f>IF(ISBLANK(fixtures!$L150),"",":")</f>
        <v/>
      </c>
      <c r="GS21" s="90" t="str">
        <f>IF(ISBLANK(fixtures!$L150),"",fixtures!$L150)</f>
        <v/>
      </c>
      <c r="GT21" s="27" t="str">
        <f>IF(ISBLANK(fixtures!$L150),"",IF(GQ21&gt;GS21,"W",IF(GQ21=GS21,"D","L")))</f>
        <v/>
      </c>
      <c r="GU21" s="27"/>
      <c r="GV21" s="27"/>
      <c r="GW21" s="382">
        <v>6</v>
      </c>
      <c r="GX21" s="380" t="s">
        <v>218</v>
      </c>
      <c r="GY21" s="384">
        <f ca="1">IFERROR(INDIRECT("fixtures!" &amp; Dashboard!J1 &amp;148) - Dashboard!K1/24,"TBC")</f>
        <v>45997.625</v>
      </c>
      <c r="GZ21" s="380"/>
      <c r="HA21" s="380" t="s">
        <v>10</v>
      </c>
      <c r="HB21" s="380" t="s">
        <v>92</v>
      </c>
      <c r="HC21" s="382" t="str">
        <f>IF(ISBLANK(fixtures!$L148),"",fixtures!$L148)</f>
        <v/>
      </c>
      <c r="HD21" s="380" t="str">
        <f>IF(ISBLANK(fixtures!$L148),"",":")</f>
        <v/>
      </c>
      <c r="HE21" s="383" t="str">
        <f>IF(ISBLANK(fixtures!$K148),"",fixtures!$K148)</f>
        <v/>
      </c>
      <c r="HF21" s="380" t="str">
        <f>IF(ISBLANK(fixtures!$L148),"",IF(HC21&gt;HE21,"W",IF(HC21=HE21,"D","L")))</f>
        <v/>
      </c>
      <c r="HG21" s="380"/>
      <c r="HH21" s="380"/>
      <c r="HI21" s="92">
        <v>6</v>
      </c>
      <c r="HJ21" s="29" t="s">
        <v>218</v>
      </c>
      <c r="HK21" s="272">
        <f ca="1">IFERROR(INDIRECT("fixtures!" &amp; Dashboard!J1 &amp;144) - Dashboard!K1/24,"TBC")</f>
        <v>45997.625</v>
      </c>
      <c r="HL21" s="29"/>
      <c r="HM21" s="29" t="s">
        <v>4</v>
      </c>
      <c r="HN21" s="29" t="s">
        <v>92</v>
      </c>
      <c r="HO21" s="92" t="str">
        <f>IF(ISBLANK(fixtures!$L144),"",fixtures!$L144)</f>
        <v/>
      </c>
      <c r="HP21" s="29" t="str">
        <f>IF(ISBLANK(fixtures!$L144),"",":")</f>
        <v/>
      </c>
      <c r="HQ21" s="94" t="str">
        <f>IF(ISBLANK(fixtures!$K144),"",fixtures!$K144)</f>
        <v/>
      </c>
      <c r="HR21" s="29" t="str">
        <f>IF(ISBLANK(fixtures!$L144),"",IF(HO21&gt;HQ21,"W",IF(HO21=HQ21,"D","L")))</f>
        <v/>
      </c>
      <c r="HS21" s="29"/>
      <c r="HT21" s="29"/>
      <c r="HU21" s="97">
        <v>6</v>
      </c>
      <c r="HV21" s="31" t="s">
        <v>218</v>
      </c>
      <c r="HW21" s="278">
        <f ca="1">IFERROR(INDIRECT("fixtures!" &amp; Dashboard!J1 &amp;151) - Dashboard!K1/24,"TBC")</f>
        <v>45997.625</v>
      </c>
      <c r="HX21" s="31"/>
      <c r="HY21" s="31" t="s">
        <v>11</v>
      </c>
      <c r="HZ21" s="31" t="s">
        <v>93</v>
      </c>
      <c r="IA21" s="97" t="str">
        <f>IF(ISBLANK(fixtures!$K151),"",fixtures!$K151)</f>
        <v/>
      </c>
      <c r="IB21" s="31" t="str">
        <f>IF(ISBLANK(fixtures!$L151),"",":")</f>
        <v/>
      </c>
      <c r="IC21" s="99" t="str">
        <f>IF(ISBLANK(fixtures!$L151),"",fixtures!$L151)</f>
        <v/>
      </c>
      <c r="ID21" s="31" t="str">
        <f>IF(ISBLANK(fixtures!$L151),"",IF(IA21&gt;IC21,"W",IF(IA21=IC21,"D","L")))</f>
        <v/>
      </c>
      <c r="IE21" s="31"/>
      <c r="IF21" s="31"/>
    </row>
    <row r="22" spans="1:243">
      <c r="A22" s="66">
        <v>13</v>
      </c>
      <c r="B22" s="6" t="s">
        <v>218</v>
      </c>
      <c r="C22" s="214">
        <f ca="1">IFERROR(INDIRECT("fixtures!" &amp; Dashboard!J1 &amp;152) - Dashboard!K1/24,"TBC")</f>
        <v>46004.625</v>
      </c>
      <c r="D22" s="6"/>
      <c r="E22" s="6" t="s">
        <v>15</v>
      </c>
      <c r="F22" s="6" t="s">
        <v>93</v>
      </c>
      <c r="G22" s="66" t="str">
        <f>IF(ISBLANK(fixtures!$K152),"",fixtures!$K152)</f>
        <v/>
      </c>
      <c r="H22" s="6" t="str">
        <f>IF(ISBLANK(fixtures!$L152),"",":")</f>
        <v/>
      </c>
      <c r="I22" s="68" t="str">
        <f>IF(ISBLANK(fixtures!$L152),"",fixtures!$L152)</f>
        <v/>
      </c>
      <c r="J22" s="6" t="str">
        <f>IF(ISBLANK(fixtures!$L152),"",IF(G22&gt;I22,"W",IF(G22=I22,"D","L")))</f>
        <v/>
      </c>
      <c r="K22" s="6"/>
      <c r="L22" s="6"/>
      <c r="M22" s="382">
        <v>13</v>
      </c>
      <c r="N22" s="380" t="s">
        <v>218</v>
      </c>
      <c r="O22" s="384">
        <f ca="1">IFERROR(INDIRECT("fixtures!" &amp; Dashboard!J1 &amp;161) - Dashboard!K1/24,"TBC")</f>
        <v>46004.625</v>
      </c>
      <c r="P22" s="380"/>
      <c r="Q22" s="380" t="s">
        <v>14</v>
      </c>
      <c r="R22" s="380" t="s">
        <v>92</v>
      </c>
      <c r="S22" s="382" t="str">
        <f>IF(ISBLANK(fixtures!$L161),"",fixtures!$L161)</f>
        <v/>
      </c>
      <c r="T22" s="380" t="str">
        <f>IF(ISBLANK(fixtures!$L161),"",":")</f>
        <v/>
      </c>
      <c r="U22" s="383" t="str">
        <f>IF(ISBLANK(fixtures!$K161),"",fixtures!$K161)</f>
        <v/>
      </c>
      <c r="V22" s="380" t="str">
        <f>IF(ISBLANK(fixtures!$L161),"",IF(S22&gt;U22,"W",IF(S22=U22,"D","L")))</f>
        <v/>
      </c>
      <c r="W22" s="380"/>
      <c r="X22" s="380"/>
      <c r="Y22" s="418">
        <v>13</v>
      </c>
      <c r="Z22" s="412" t="s">
        <v>218</v>
      </c>
      <c r="AA22" s="420">
        <f ca="1">IFERROR(INDIRECT("fixtures!" &amp; Dashboard!J1 &amp;158) - Dashboard!K1/24,"TBC")</f>
        <v>46004.625</v>
      </c>
      <c r="AB22" s="412"/>
      <c r="AC22" s="412" t="s">
        <v>11</v>
      </c>
      <c r="AD22" s="412" t="s">
        <v>92</v>
      </c>
      <c r="AE22" s="418" t="str">
        <f>IF(ISBLANK(fixtures!$L158),"",fixtures!$L158)</f>
        <v/>
      </c>
      <c r="AF22" s="412" t="str">
        <f>IF(ISBLANK(fixtures!$L158),"",":")</f>
        <v/>
      </c>
      <c r="AG22" s="419" t="str">
        <f>IF(ISBLANK(fixtures!$K158),"",fixtures!$K158)</f>
        <v/>
      </c>
      <c r="AH22" s="412" t="str">
        <f>IF(ISBLANK(fixtures!$L158),"",IF(AE22&gt;AG22,"W",IF(AE22=AG22,"D","L")))</f>
        <v/>
      </c>
      <c r="AI22" s="412"/>
      <c r="AJ22" s="412"/>
      <c r="AK22" s="427">
        <v>13</v>
      </c>
      <c r="AL22" s="413" t="s">
        <v>218</v>
      </c>
      <c r="AM22" s="429">
        <f ca="1">IFERROR(INDIRECT("fixtures!" &amp; Dashboard!J1 &amp;153) - Dashboard!K1/24,"TBC")</f>
        <v>46004.625</v>
      </c>
      <c r="AN22" s="413"/>
      <c r="AO22" s="413" t="s">
        <v>444</v>
      </c>
      <c r="AP22" s="413" t="s">
        <v>93</v>
      </c>
      <c r="AQ22" s="427" t="str">
        <f>IF(ISBLANK(fixtures!$K153),"",fixtures!$K153)</f>
        <v/>
      </c>
      <c r="AR22" s="413" t="str">
        <f>IF(ISBLANK(fixtures!$L153),"",":")</f>
        <v/>
      </c>
      <c r="AS22" s="428" t="str">
        <f>IF(ISBLANK(fixtures!$L153),"",fixtures!$L153)</f>
        <v/>
      </c>
      <c r="AT22" s="413" t="str">
        <f>IF(ISBLANK(fixtures!$L153),"",IF(AQ22&gt;AS22,"W",IF(AQ22=AS22,"D","L")))</f>
        <v/>
      </c>
      <c r="AU22" s="413"/>
      <c r="AV22" s="413"/>
      <c r="AW22" s="71">
        <v>13</v>
      </c>
      <c r="AX22" s="9" t="s">
        <v>218</v>
      </c>
      <c r="AY22" s="219">
        <f ca="1">IFERROR(INDIRECT("fixtures!" &amp; Dashboard!J1 &amp;157) - Dashboard!K1/24,"TBC")</f>
        <v>46004.625</v>
      </c>
      <c r="AZ22" s="9"/>
      <c r="BA22" s="9" t="s">
        <v>9</v>
      </c>
      <c r="BB22" s="9" t="s">
        <v>92</v>
      </c>
      <c r="BC22" s="71" t="str">
        <f>IF(ISBLANK(fixtures!$L157),"",fixtures!$L157)</f>
        <v/>
      </c>
      <c r="BD22" s="9" t="str">
        <f>IF(ISBLANK(fixtures!$L157),"",":")</f>
        <v/>
      </c>
      <c r="BE22" s="73" t="str">
        <f>IF(ISBLANK(fixtures!$K157),"",fixtures!$K157)</f>
        <v/>
      </c>
      <c r="BF22" s="9" t="str">
        <f>IF(ISBLANK(fixtures!$L157),"",IF(BC22&gt;BE22,"W",IF(BC22=BE22,"D","L")))</f>
        <v/>
      </c>
      <c r="BG22" s="9"/>
      <c r="BH22" s="9"/>
      <c r="BI22" s="436">
        <v>13</v>
      </c>
      <c r="BJ22" s="414" t="s">
        <v>218</v>
      </c>
      <c r="BK22" s="438">
        <f ca="1">IFERROR(INDIRECT("fixtures!" &amp; Dashboard!J1 &amp;154) - Dashboard!K1/24,"TBC")</f>
        <v>46004.625</v>
      </c>
      <c r="BL22" s="414"/>
      <c r="BM22" s="414" t="s">
        <v>108</v>
      </c>
      <c r="BN22" s="414" t="s">
        <v>93</v>
      </c>
      <c r="BO22" s="436" t="str">
        <f>IF(ISBLANK(fixtures!$K154),"",fixtures!$K154)</f>
        <v/>
      </c>
      <c r="BP22" s="414" t="str">
        <f>IF(ISBLANK(fixtures!$L154),"",":")</f>
        <v/>
      </c>
      <c r="BQ22" s="437" t="str">
        <f>IF(ISBLANK(fixtures!$L154),"",fixtures!$L154)</f>
        <v/>
      </c>
      <c r="BR22" s="414" t="str">
        <f>IF(ISBLANK(fixtures!$L154),"",IF(BO22&gt;BQ22,"W",IF(BO22=BQ22,"D","L")))</f>
        <v/>
      </c>
      <c r="BS22" s="414"/>
      <c r="BT22" s="414"/>
      <c r="BU22" s="146">
        <v>13</v>
      </c>
      <c r="BV22" s="13" t="s">
        <v>218</v>
      </c>
      <c r="BW22" s="225">
        <f ca="1">IFERROR(INDIRECT("fixtures!" &amp; Dashboard!J1 &amp;155) - Dashboard!K1/24,"TBC")</f>
        <v>46004.625</v>
      </c>
      <c r="BX22" s="13"/>
      <c r="BY22" s="13" t="s">
        <v>8</v>
      </c>
      <c r="BZ22" s="13" t="s">
        <v>93</v>
      </c>
      <c r="CA22" s="146" t="str">
        <f>IF(ISBLANK(fixtures!$K155),"",fixtures!$K155)</f>
        <v/>
      </c>
      <c r="CB22" s="13" t="str">
        <f>IF(ISBLANK(fixtures!$L155),"",":")</f>
        <v/>
      </c>
      <c r="CC22" s="148" t="str">
        <f>IF(ISBLANK(fixtures!$L155),"",fixtures!$L155)</f>
        <v/>
      </c>
      <c r="CD22" s="13" t="str">
        <f>IF(ISBLANK(fixtures!$L155),"",IF(CA22&gt;CC22,"W",IF(CA22=CC22,"D","L")))</f>
        <v/>
      </c>
      <c r="CE22" s="13"/>
      <c r="CF22" s="13"/>
      <c r="CG22" s="394">
        <v>13</v>
      </c>
      <c r="CH22" s="14" t="s">
        <v>218</v>
      </c>
      <c r="CI22" s="396">
        <f ca="1">IFERROR(INDIRECT("fixtures!" &amp; Dashboard!J1 &amp;156) - Dashboard!K1/24,"TBC")</f>
        <v>46004.625</v>
      </c>
      <c r="CJ22" s="14"/>
      <c r="CK22" s="14" t="s">
        <v>10</v>
      </c>
      <c r="CL22" s="14" t="s">
        <v>93</v>
      </c>
      <c r="CM22" s="394" t="str">
        <f>IF(ISBLANK(fixtures!$K156),"",fixtures!$K156)</f>
        <v/>
      </c>
      <c r="CN22" s="14" t="str">
        <f>IF(ISBLANK(fixtures!$L156),"",":")</f>
        <v/>
      </c>
      <c r="CO22" s="395" t="str">
        <f>IF(ISBLANK(fixtures!$L156),"",fixtures!$L156)</f>
        <v/>
      </c>
      <c r="CP22" s="14" t="str">
        <f>IF(ISBLANK(fixtures!$L156),"",IF(CM22&gt;CO22,"W",IF(CM22=CO22,"D","L")))</f>
        <v/>
      </c>
      <c r="CQ22" s="14"/>
      <c r="CR22" s="14"/>
      <c r="CS22" s="231">
        <v>13</v>
      </c>
      <c r="CT22" s="17" t="s">
        <v>218</v>
      </c>
      <c r="CU22" s="233">
        <f ca="1">IFERROR(INDIRECT("fixtures!" &amp; Dashboard!J1 &amp;155) - Dashboard!K1/24,"TBC")</f>
        <v>46004.625</v>
      </c>
      <c r="CV22" s="17"/>
      <c r="CW22" s="17" t="s">
        <v>6</v>
      </c>
      <c r="CX22" s="17" t="s">
        <v>92</v>
      </c>
      <c r="CY22" s="231" t="str">
        <f>IF(ISBLANK(fixtures!$L155),"",fixtures!$L155)</f>
        <v/>
      </c>
      <c r="CZ22" s="17" t="str">
        <f>IF(ISBLANK(fixtures!$L155),"",":")</f>
        <v/>
      </c>
      <c r="DA22" s="232" t="str">
        <f>IF(ISBLANK(fixtures!$K155),"",fixtures!$K155)</f>
        <v/>
      </c>
      <c r="DB22" s="17" t="str">
        <f>IF(ISBLANK(fixtures!$L155),"",IF(CY22&gt;DA22,"W",IF(CY22=DA22,"D","L")))</f>
        <v/>
      </c>
      <c r="DC22" s="17"/>
      <c r="DD22" s="17"/>
      <c r="DE22" s="444">
        <v>13</v>
      </c>
      <c r="DF22" s="143" t="s">
        <v>218</v>
      </c>
      <c r="DG22" s="446">
        <f ca="1">IFERROR(INDIRECT("fixtures!" &amp; Dashboard!J1 &amp;154) - Dashboard!K1/24,"TBC")</f>
        <v>46004.625</v>
      </c>
      <c r="DH22" s="143"/>
      <c r="DI22" s="143" t="s">
        <v>5</v>
      </c>
      <c r="DJ22" s="143" t="s">
        <v>92</v>
      </c>
      <c r="DK22" s="444" t="str">
        <f>IF(ISBLANK(fixtures!$L154),"",fixtures!$L154)</f>
        <v/>
      </c>
      <c r="DL22" s="143" t="str">
        <f>IF(ISBLANK(fixtures!$L154),"",":")</f>
        <v/>
      </c>
      <c r="DM22" s="445" t="str">
        <f>IF(ISBLANK(fixtures!$K154),"",fixtures!$K154)</f>
        <v/>
      </c>
      <c r="DN22" s="143" t="str">
        <f>IF(ISBLANK(fixtures!$L154),"",IF(DK22&gt;DM22,"W",IF(DK22=DM22,"D","L")))</f>
        <v/>
      </c>
      <c r="DO22" s="143"/>
      <c r="DP22" s="143"/>
      <c r="DQ22" s="382">
        <v>13</v>
      </c>
      <c r="DR22" s="380" t="s">
        <v>218</v>
      </c>
      <c r="DS22" s="384">
        <f ca="1">IFERROR(INDIRECT("fixtures!" &amp; Dashboard!J1 &amp;153) - Dashboard!K1/24,"TBC")</f>
        <v>46004.625</v>
      </c>
      <c r="DT22" s="380"/>
      <c r="DU22" s="380" t="s">
        <v>107</v>
      </c>
      <c r="DV22" s="380" t="s">
        <v>92</v>
      </c>
      <c r="DW22" s="382" t="str">
        <f>IF(ISBLANK(fixtures!$L153),"",fixtures!$L153)</f>
        <v/>
      </c>
      <c r="DX22" s="380" t="str">
        <f>IF(ISBLANK(fixtures!$L153),"",":")</f>
        <v/>
      </c>
      <c r="DY22" s="383" t="str">
        <f>IF(ISBLANK(fixtures!$K153),"",fixtures!$K153)</f>
        <v/>
      </c>
      <c r="DZ22" s="380" t="str">
        <f>IF(ISBLANK(fixtures!$L153),"",IF(DW22&gt;DY22,"W",IF(DW22=DY22,"D","L")))</f>
        <v/>
      </c>
      <c r="EA22" s="380"/>
      <c r="EB22" s="380"/>
      <c r="EC22" s="207">
        <v>13</v>
      </c>
      <c r="ED22" s="19" t="s">
        <v>218</v>
      </c>
      <c r="EE22" s="239">
        <f ca="1">IFERROR(INDIRECT("fixtures!" &amp; Dashboard!J1 &amp;157) - Dashboard!K1/24,"TBC")</f>
        <v>46004.625</v>
      </c>
      <c r="EF22" s="19"/>
      <c r="EG22" s="19" t="s">
        <v>4</v>
      </c>
      <c r="EH22" s="19" t="s">
        <v>93</v>
      </c>
      <c r="EI22" s="207" t="str">
        <f>IF(ISBLANK(fixtures!$K157),"",fixtures!$K157)</f>
        <v/>
      </c>
      <c r="EJ22" s="19" t="str">
        <f>IF(ISBLANK(fixtures!$L157),"",":")</f>
        <v/>
      </c>
      <c r="EK22" s="209" t="str">
        <f>IF(ISBLANK(fixtures!$L157),"",fixtures!$L157)</f>
        <v/>
      </c>
      <c r="EL22" s="19" t="str">
        <f>IF(ISBLANK(fixtures!$L157),"",IF(EI22&gt;EK22,"W",IF(EI22=EK22,"D","L")))</f>
        <v/>
      </c>
      <c r="EM22" s="19"/>
      <c r="EN22" s="19"/>
      <c r="EO22" s="80">
        <v>13</v>
      </c>
      <c r="EP22" s="21" t="s">
        <v>218</v>
      </c>
      <c r="EQ22" s="245">
        <f ca="1">IFERROR(INDIRECT("fixtures!" &amp; Dashboard!J1 &amp;156) - Dashboard!K1/24,"TBC")</f>
        <v>46004.625</v>
      </c>
      <c r="ER22" s="21"/>
      <c r="ES22" s="21" t="s">
        <v>7</v>
      </c>
      <c r="ET22" s="21" t="s">
        <v>92</v>
      </c>
      <c r="EU22" s="80" t="str">
        <f>IF(ISBLANK(fixtures!$L156),"",fixtures!$L156)</f>
        <v/>
      </c>
      <c r="EV22" s="21" t="str">
        <f>IF(ISBLANK(fixtures!$L156),"",":")</f>
        <v/>
      </c>
      <c r="EW22" s="82" t="str">
        <f>IF(ISBLANK(fixtures!$K156),"",fixtures!$K156)</f>
        <v/>
      </c>
      <c r="EX22" s="21" t="str">
        <f>IF(ISBLANK(fixtures!$L156),"",IF(EU22&gt;EW22,"W",IF(EU22=EW22,"D","L")))</f>
        <v/>
      </c>
      <c r="EY22" s="21"/>
      <c r="EZ22" s="21"/>
      <c r="FA22" s="251">
        <v>13</v>
      </c>
      <c r="FB22" s="23" t="s">
        <v>218</v>
      </c>
      <c r="FC22" s="253">
        <f ca="1">IFERROR(INDIRECT("fixtures!" &amp; Dashboard!J1 &amp;158) - Dashboard!K1/24,"TBC")</f>
        <v>46004.625</v>
      </c>
      <c r="FD22" s="23"/>
      <c r="FE22" s="23" t="s">
        <v>3</v>
      </c>
      <c r="FF22" s="23" t="s">
        <v>93</v>
      </c>
      <c r="FG22" s="251" t="str">
        <f>IF(ISBLANK(fixtures!$K158),"",fixtures!$K158)</f>
        <v/>
      </c>
      <c r="FH22" s="23" t="str">
        <f>IF(ISBLANK(fixtures!$L158),"",":")</f>
        <v/>
      </c>
      <c r="FI22" s="252" t="str">
        <f>IF(ISBLANK(fixtures!$L158),"",fixtures!$L158)</f>
        <v/>
      </c>
      <c r="FJ22" s="23" t="str">
        <f>IF(ISBLANK(fixtures!$L158),"",IF(FG22&gt;FI22,"W",IF(FG22=FI22,"D","L")))</f>
        <v/>
      </c>
      <c r="FK22" s="23"/>
      <c r="FL22" s="23"/>
      <c r="FM22" s="85">
        <v>13</v>
      </c>
      <c r="FN22" s="25" t="s">
        <v>218</v>
      </c>
      <c r="FO22" s="259">
        <f ca="1">IFERROR(INDIRECT("fixtures!" &amp; Dashboard!J1 &amp;160) - Dashboard!K1/24,"TBC")</f>
        <v>46004.625</v>
      </c>
      <c r="FP22" s="25"/>
      <c r="FQ22" s="25" t="s">
        <v>443</v>
      </c>
      <c r="FR22" s="25" t="s">
        <v>92</v>
      </c>
      <c r="FS22" s="85" t="str">
        <f>IF(ISBLANK(fixtures!$L160),"",fixtures!$L160)</f>
        <v/>
      </c>
      <c r="FT22" s="25" t="str">
        <f>IF(ISBLANK(fixtures!$L160),"",":")</f>
        <v/>
      </c>
      <c r="FU22" s="87" t="str">
        <f>IF(ISBLANK(fixtures!$K160),"",fixtures!$K160)</f>
        <v/>
      </c>
      <c r="FV22" s="25" t="str">
        <f>IF(ISBLANK(fixtures!$L160),"",IF(FS22&gt;FU22,"W",IF(FS22=FU22,"D","L")))</f>
        <v/>
      </c>
      <c r="FW22" s="25"/>
      <c r="FX22" s="25"/>
      <c r="FY22" s="402">
        <v>13</v>
      </c>
      <c r="FZ22" s="390" t="s">
        <v>218</v>
      </c>
      <c r="GA22" s="404">
        <f ca="1">IFERROR(INDIRECT("fixtures!" &amp; Dashboard!J1 &amp;159) - Dashboard!K1/24,"TBC")</f>
        <v>46004.625</v>
      </c>
      <c r="GB22" s="390"/>
      <c r="GC22" s="390" t="s">
        <v>13</v>
      </c>
      <c r="GD22" s="390" t="s">
        <v>93</v>
      </c>
      <c r="GE22" s="402" t="str">
        <f>IF(ISBLANK(fixtures!$K159),"",fixtures!$K159)</f>
        <v/>
      </c>
      <c r="GF22" s="390" t="str">
        <f>IF(ISBLANK(fixtures!$L159),"",":")</f>
        <v/>
      </c>
      <c r="GG22" s="403" t="str">
        <f>IF(ISBLANK(fixtures!$L159),"",fixtures!$L159)</f>
        <v/>
      </c>
      <c r="GH22" s="390" t="str">
        <f>IF(ISBLANK(fixtures!$L159),"",IF(GE22&gt;GG22,"W",IF(GE22=GG22,"D","L")))</f>
        <v/>
      </c>
      <c r="GI22" s="390"/>
      <c r="GJ22" s="390"/>
      <c r="GK22" s="89">
        <v>13</v>
      </c>
      <c r="GL22" s="27" t="s">
        <v>218</v>
      </c>
      <c r="GM22" s="266">
        <f ca="1">IFERROR(INDIRECT("fixtures!" &amp; Dashboard!J1 &amp;159) - Dashboard!K1/24,"TBC")</f>
        <v>46004.625</v>
      </c>
      <c r="GN22" s="27"/>
      <c r="GO22" s="27" t="s">
        <v>188</v>
      </c>
      <c r="GP22" s="27" t="s">
        <v>92</v>
      </c>
      <c r="GQ22" s="89" t="str">
        <f>IF(ISBLANK(fixtures!$L159),"",fixtures!$L159)</f>
        <v/>
      </c>
      <c r="GR22" s="27" t="str">
        <f>IF(ISBLANK(fixtures!$L159),"",":")</f>
        <v/>
      </c>
      <c r="GS22" s="90" t="str">
        <f>IF(ISBLANK(fixtures!$K159),"",fixtures!$K159)</f>
        <v/>
      </c>
      <c r="GT22" s="27" t="str">
        <f>IF(ISBLANK(fixtures!$L159),"",IF(GQ22&gt;GS22,"W",IF(GQ22=GS22,"D","L")))</f>
        <v/>
      </c>
      <c r="GU22" s="27"/>
      <c r="GV22" s="27"/>
      <c r="GW22" s="382">
        <v>13</v>
      </c>
      <c r="GX22" s="380" t="s">
        <v>218</v>
      </c>
      <c r="GY22" s="384">
        <f ca="1">IFERROR(INDIRECT("fixtures!" &amp; Dashboard!J1 &amp;160) - Dashboard!K1/24,"TBC")</f>
        <v>46004.625</v>
      </c>
      <c r="GZ22" s="380"/>
      <c r="HA22" s="380" t="s">
        <v>12</v>
      </c>
      <c r="HB22" s="380" t="s">
        <v>93</v>
      </c>
      <c r="HC22" s="382" t="str">
        <f>IF(ISBLANK(fixtures!$K160),"",fixtures!$K160)</f>
        <v/>
      </c>
      <c r="HD22" s="380" t="str">
        <f>IF(ISBLANK(fixtures!$L160),"",":")</f>
        <v/>
      </c>
      <c r="HE22" s="383" t="str">
        <f>IF(ISBLANK(fixtures!$L160),"",fixtures!$L160)</f>
        <v/>
      </c>
      <c r="HF22" s="380" t="str">
        <f>IF(ISBLANK(fixtures!$L160),"",IF(HC22&gt;HE22,"W",IF(HC22=HE22,"D","L")))</f>
        <v/>
      </c>
      <c r="HG22" s="380"/>
      <c r="HH22" s="380"/>
      <c r="HI22" s="92">
        <v>13</v>
      </c>
      <c r="HJ22" s="29" t="s">
        <v>218</v>
      </c>
      <c r="HK22" s="272">
        <f ca="1">IFERROR(INDIRECT("fixtures!" &amp; Dashboard!J1 &amp;161) - Dashboard!K1/24,"TBC")</f>
        <v>46004.625</v>
      </c>
      <c r="HL22" s="29"/>
      <c r="HM22" s="29" t="s">
        <v>2</v>
      </c>
      <c r="HN22" s="29" t="s">
        <v>93</v>
      </c>
      <c r="HO22" s="92" t="str">
        <f>IF(ISBLANK(fixtures!$K161),"",fixtures!$K161)</f>
        <v/>
      </c>
      <c r="HP22" s="29" t="str">
        <f>IF(ISBLANK(fixtures!$L161),"",":")</f>
        <v/>
      </c>
      <c r="HQ22" s="94" t="str">
        <f>IF(ISBLANK(fixtures!$L161),"",fixtures!$L161)</f>
        <v/>
      </c>
      <c r="HR22" s="29" t="str">
        <f>IF(ISBLANK(fixtures!$L161),"",IF(HO22&gt;HQ22,"W",IF(HO22=HQ22,"D","L")))</f>
        <v/>
      </c>
      <c r="HS22" s="29"/>
      <c r="HT22" s="29"/>
      <c r="HU22" s="97">
        <v>13</v>
      </c>
      <c r="HV22" s="31" t="s">
        <v>218</v>
      </c>
      <c r="HW22" s="278">
        <f ca="1">IFERROR(INDIRECT("fixtures!" &amp; Dashboard!J1 &amp;152) - Dashboard!K1/24,"TBC")</f>
        <v>46004.625</v>
      </c>
      <c r="HX22" s="31"/>
      <c r="HY22" s="31" t="s">
        <v>1</v>
      </c>
      <c r="HZ22" s="31" t="s">
        <v>92</v>
      </c>
      <c r="IA22" s="97" t="str">
        <f>IF(ISBLANK(fixtures!$L152),"",fixtures!$L152)</f>
        <v/>
      </c>
      <c r="IB22" s="31" t="str">
        <f>IF(ISBLANK(fixtures!$L152),"",":")</f>
        <v/>
      </c>
      <c r="IC22" s="99" t="str">
        <f>IF(ISBLANK(fixtures!$K152),"",fixtures!$K152)</f>
        <v/>
      </c>
      <c r="ID22" s="31" t="str">
        <f>IF(ISBLANK(fixtures!$L152),"",IF(IA22&gt;IC22,"W",IF(IA22=IC22,"D","L")))</f>
        <v/>
      </c>
      <c r="IE22" s="31"/>
      <c r="IF22" s="31"/>
    </row>
    <row r="23" spans="1:243">
      <c r="A23" s="66">
        <v>20</v>
      </c>
      <c r="B23" s="6" t="s">
        <v>218</v>
      </c>
      <c r="C23" s="214">
        <f ca="1">IFERROR(INDIRECT("fixtures!" &amp; Dashboard!J1 &amp;165) - Dashboard!K1/24,"TBC")</f>
        <v>46011.625</v>
      </c>
      <c r="D23" s="6"/>
      <c r="E23" s="6" t="s">
        <v>8</v>
      </c>
      <c r="F23" s="6" t="s">
        <v>92</v>
      </c>
      <c r="G23" s="66" t="str">
        <f>IF(ISBLANK(fixtures!$L165),"",fixtures!$L165)</f>
        <v/>
      </c>
      <c r="H23" s="6" t="str">
        <f>IF(ISBLANK(fixtures!$L165),"",":")</f>
        <v/>
      </c>
      <c r="I23" s="68" t="str">
        <f>IF(ISBLANK(fixtures!$K165),"",fixtures!$K165)</f>
        <v/>
      </c>
      <c r="J23" s="6" t="str">
        <f>IF(ISBLANK(fixtures!$L165),"",IF(G23&gt;I23,"W",IF(G23=I23,"D","L")))</f>
        <v/>
      </c>
      <c r="K23" s="6"/>
      <c r="L23" s="6"/>
      <c r="M23" s="382">
        <v>20</v>
      </c>
      <c r="N23" s="380" t="s">
        <v>218</v>
      </c>
      <c r="O23" s="384">
        <f ca="1">IFERROR(INDIRECT("fixtures!" &amp; Dashboard!J1 &amp;162) - Dashboard!K1/24,"TBC")</f>
        <v>46011.625</v>
      </c>
      <c r="P23" s="380"/>
      <c r="Q23" s="380" t="s">
        <v>11</v>
      </c>
      <c r="R23" s="380" t="s">
        <v>93</v>
      </c>
      <c r="S23" s="382" t="str">
        <f>IF(ISBLANK(fixtures!$K162),"",fixtures!$K162)</f>
        <v/>
      </c>
      <c r="T23" s="380" t="str">
        <f>IF(ISBLANK(fixtures!$L162),"",":")</f>
        <v/>
      </c>
      <c r="U23" s="383" t="str">
        <f>IF(ISBLANK(fixtures!$L162),"",fixtures!$L162)</f>
        <v/>
      </c>
      <c r="V23" s="380" t="str">
        <f>IF(ISBLANK(fixtures!$L162),"",IF(S23&gt;U23,"W",IF(S23=U23,"D","L")))</f>
        <v/>
      </c>
      <c r="W23" s="380"/>
      <c r="X23" s="380"/>
      <c r="Y23" s="418">
        <v>20</v>
      </c>
      <c r="Z23" s="412" t="s">
        <v>218</v>
      </c>
      <c r="AA23" s="420">
        <f ca="1">IFERROR(INDIRECT("fixtures!" &amp; Dashboard!J1 &amp;163) - Dashboard!K1/24,"TBC")</f>
        <v>46011.625</v>
      </c>
      <c r="AB23" s="412"/>
      <c r="AC23" s="412" t="s">
        <v>5</v>
      </c>
      <c r="AD23" s="412" t="s">
        <v>93</v>
      </c>
      <c r="AE23" s="418" t="str">
        <f>IF(ISBLANK(fixtures!$K163),"",fixtures!$K163)</f>
        <v/>
      </c>
      <c r="AF23" s="412" t="str">
        <f>IF(ISBLANK(fixtures!$L163),"",":")</f>
        <v/>
      </c>
      <c r="AG23" s="419" t="str">
        <f>IF(ISBLANK(fixtures!$L163),"",fixtures!$L163)</f>
        <v/>
      </c>
      <c r="AH23" s="412" t="str">
        <f>IF(ISBLANK(fixtures!$L163),"",IF(AE23&gt;AG23,"W",IF(AE23=AG23,"D","L")))</f>
        <v/>
      </c>
      <c r="AI23" s="412"/>
      <c r="AJ23" s="412"/>
      <c r="AK23" s="427">
        <v>20</v>
      </c>
      <c r="AL23" s="428" t="s">
        <v>218</v>
      </c>
      <c r="AM23" s="429">
        <f ca="1">IFERROR(INDIRECT("fixtures!" &amp; Dashboard!J1 &amp;171) - Dashboard!K1/24,"TBC")</f>
        <v>46011.625</v>
      </c>
      <c r="AN23" s="413"/>
      <c r="AO23" s="413" t="s">
        <v>15</v>
      </c>
      <c r="AP23" s="413" t="s">
        <v>92</v>
      </c>
      <c r="AQ23" s="427" t="str">
        <f>IF(ISBLANK(fixtures!$L171),"",fixtures!$L171)</f>
        <v/>
      </c>
      <c r="AR23" s="413" t="str">
        <f>IF(ISBLANK(fixtures!$L171),"",":")</f>
        <v/>
      </c>
      <c r="AS23" s="428" t="str">
        <f>IF(ISBLANK(fixtures!$K171),"",fixtures!$K171)</f>
        <v/>
      </c>
      <c r="AT23" s="413" t="str">
        <f>IF(ISBLANK(fixtures!$L171),"",IF(AQ23&gt;AS23,"W",IF(AQ23=AS23,"D","L")))</f>
        <v/>
      </c>
      <c r="AU23" s="413"/>
      <c r="AV23" s="413"/>
      <c r="AW23" s="71">
        <v>20</v>
      </c>
      <c r="AX23" s="9" t="s">
        <v>218</v>
      </c>
      <c r="AY23" s="219">
        <f ca="1">IFERROR(INDIRECT("fixtures!" &amp; Dashboard!J1 &amp;164) - Dashboard!K1/24,"TBC")</f>
        <v>46011.625</v>
      </c>
      <c r="AZ23" s="9"/>
      <c r="BA23" s="9" t="s">
        <v>443</v>
      </c>
      <c r="BB23" s="9" t="s">
        <v>93</v>
      </c>
      <c r="BC23" s="71" t="str">
        <f>IF(ISBLANK(fixtures!$K164),"",fixtures!$K164)</f>
        <v/>
      </c>
      <c r="BD23" s="9" t="str">
        <f>IF(ISBLANK(fixtures!$L164),"",":")</f>
        <v/>
      </c>
      <c r="BE23" s="73" t="str">
        <f>IF(ISBLANK(fixtures!$L164),"",fixtures!$L164)</f>
        <v/>
      </c>
      <c r="BF23" s="9" t="str">
        <f>IF(ISBLANK(fixtures!$L164),"",IF(BC23&gt;BE23,"W",IF(BC23=BE23,"D","L")))</f>
        <v/>
      </c>
      <c r="BG23" s="9"/>
      <c r="BH23" s="9"/>
      <c r="BI23" s="436">
        <v>20</v>
      </c>
      <c r="BJ23" s="414" t="s">
        <v>218</v>
      </c>
      <c r="BK23" s="438">
        <f ca="1">IFERROR(INDIRECT("fixtures!" &amp; Dashboard!J1 &amp;163) - Dashboard!K1/24,"TBC")</f>
        <v>46011.625</v>
      </c>
      <c r="BL23" s="414"/>
      <c r="BM23" s="414" t="s">
        <v>3</v>
      </c>
      <c r="BN23" s="414" t="s">
        <v>92</v>
      </c>
      <c r="BO23" s="436" t="str">
        <f>IF(ISBLANK(fixtures!$L163),"",fixtures!$L163)</f>
        <v/>
      </c>
      <c r="BP23" s="414" t="str">
        <f>IF(ISBLANK(fixtures!$L163),"",":")</f>
        <v/>
      </c>
      <c r="BQ23" s="437" t="str">
        <f>IF(ISBLANK(fixtures!$K163),"",fixtures!$K163)</f>
        <v/>
      </c>
      <c r="BR23" s="414" t="str">
        <f>IF(ISBLANK(fixtures!$L163),"",IF(BO23&gt;BQ23,"W",IF(BO23=BQ23,"D","L")))</f>
        <v/>
      </c>
      <c r="BS23" s="414"/>
      <c r="BT23" s="414"/>
      <c r="BU23" s="146">
        <v>20</v>
      </c>
      <c r="BV23" s="13" t="s">
        <v>218</v>
      </c>
      <c r="BW23" s="225">
        <f ca="1">IFERROR(INDIRECT("fixtures!" &amp; Dashboard!J1 &amp;169) - Dashboard!K1/24,"TBC")</f>
        <v>46011.625</v>
      </c>
      <c r="BX23" s="13"/>
      <c r="BY23" s="13" t="s">
        <v>12</v>
      </c>
      <c r="BZ23" s="13" t="s">
        <v>92</v>
      </c>
      <c r="CA23" s="146" t="str">
        <f>IF(ISBLANK(fixtures!$L169),"",fixtures!$L169)</f>
        <v/>
      </c>
      <c r="CB23" s="13" t="str">
        <f>IF(ISBLANK(fixtures!$L169),"",":")</f>
        <v/>
      </c>
      <c r="CC23" s="148" t="str">
        <f>IF(ISBLANK(fixtures!$K169),"",fixtures!$K169)</f>
        <v/>
      </c>
      <c r="CD23" s="13" t="str">
        <f>IF(ISBLANK(fixtures!$L169),"",IF(CA23&gt;CC23,"W",IF(CA23=CC23,"D","L")))</f>
        <v/>
      </c>
      <c r="CE23" s="13"/>
      <c r="CF23" s="13"/>
      <c r="CG23" s="394">
        <v>20</v>
      </c>
      <c r="CH23" s="14" t="s">
        <v>218</v>
      </c>
      <c r="CI23" s="396">
        <f ca="1">IFERROR(INDIRECT("fixtures!" &amp; Dashboard!J1 &amp;167) - Dashboard!K1/24,"TBC")</f>
        <v>46011.625</v>
      </c>
      <c r="CJ23" s="14"/>
      <c r="CK23" s="14" t="s">
        <v>444</v>
      </c>
      <c r="CL23" s="14" t="s">
        <v>92</v>
      </c>
      <c r="CM23" s="394" t="str">
        <f>IF(ISBLANK(fixtures!$L167),"",fixtures!$L167)</f>
        <v/>
      </c>
      <c r="CN23" s="14" t="str">
        <f>IF(ISBLANK(fixtures!$L167),"",":")</f>
        <v/>
      </c>
      <c r="CO23" s="395" t="str">
        <f>IF(ISBLANK(fixtures!$K167),"",fixtures!$K167)</f>
        <v/>
      </c>
      <c r="CP23" s="14" t="str">
        <f>IF(ISBLANK(fixtures!$L167),"",IF(CM23&gt;CO23,"W",IF(CM23=CO23,"D","L")))</f>
        <v/>
      </c>
      <c r="CQ23" s="14"/>
      <c r="CR23" s="14"/>
      <c r="CS23" s="231">
        <v>20</v>
      </c>
      <c r="CT23" s="17" t="s">
        <v>218</v>
      </c>
      <c r="CU23" s="233">
        <f ca="1">IFERROR(INDIRECT("fixtures!" &amp; Dashboard!J1 &amp;165) - Dashboard!K1/24,"TBC")</f>
        <v>46011.625</v>
      </c>
      <c r="CV23" s="17"/>
      <c r="CW23" s="17" t="s">
        <v>1</v>
      </c>
      <c r="CX23" s="17" t="s">
        <v>93</v>
      </c>
      <c r="CY23" s="231" t="str">
        <f>IF(ISBLANK(fixtures!$K165),"",fixtures!$K165)</f>
        <v/>
      </c>
      <c r="CZ23" s="17" t="str">
        <f>IF(ISBLANK(fixtures!$L165),"",":")</f>
        <v/>
      </c>
      <c r="DA23" s="232" t="str">
        <f>IF(ISBLANK(fixtures!$L165),"",fixtures!$L165)</f>
        <v/>
      </c>
      <c r="DB23" s="17" t="str">
        <f>IF(ISBLANK(fixtures!$L165),"",IF(CY23&gt;DA23,"W",IF(CY23=DA23,"D","L")))</f>
        <v/>
      </c>
      <c r="DC23" s="17"/>
      <c r="DD23" s="17"/>
      <c r="DE23" s="444">
        <v>20</v>
      </c>
      <c r="DF23" s="143" t="s">
        <v>218</v>
      </c>
      <c r="DG23" s="446">
        <f ca="1">IFERROR(INDIRECT("fixtures!" &amp; Dashboard!J1 &amp;166) - Dashboard!K1/24,"TBC")</f>
        <v>46011.625</v>
      </c>
      <c r="DH23" s="143"/>
      <c r="DI23" s="143" t="s">
        <v>188</v>
      </c>
      <c r="DJ23" s="143" t="s">
        <v>93</v>
      </c>
      <c r="DK23" s="444" t="str">
        <f>IF(ISBLANK(fixtures!$K166),"",fixtures!$K166)</f>
        <v/>
      </c>
      <c r="DL23" s="143" t="str">
        <f>IF(ISBLANK(fixtures!$L166),"",":")</f>
        <v/>
      </c>
      <c r="DM23" s="445" t="str">
        <f>IF(ISBLANK(fixtures!$L166),"",fixtures!$L166)</f>
        <v/>
      </c>
      <c r="DN23" s="143" t="str">
        <f>IF(ISBLANK(fixtures!$L166),"",IF(DK23&gt;DM23,"W",IF(DK23=DM23,"D","L")))</f>
        <v/>
      </c>
      <c r="DO23" s="143"/>
      <c r="DP23" s="143"/>
      <c r="DQ23" s="382">
        <v>20</v>
      </c>
      <c r="DR23" s="380" t="s">
        <v>218</v>
      </c>
      <c r="DS23" s="384">
        <f ca="1">IFERROR(INDIRECT("fixtures!" &amp; Dashboard!J1 &amp;167) - Dashboard!K1/24,"TBC")</f>
        <v>46011.625</v>
      </c>
      <c r="DT23" s="380"/>
      <c r="DU23" s="380" t="s">
        <v>7</v>
      </c>
      <c r="DV23" s="380" t="s">
        <v>93</v>
      </c>
      <c r="DW23" s="382" t="str">
        <f>IF(ISBLANK(fixtures!$K167),"",fixtures!$K167)</f>
        <v/>
      </c>
      <c r="DX23" s="380" t="str">
        <f>IF(ISBLANK(fixtures!$L167),"",":")</f>
        <v/>
      </c>
      <c r="DY23" s="383" t="str">
        <f>IF(ISBLANK(fixtures!$L167),"",fixtures!$L167)</f>
        <v/>
      </c>
      <c r="DZ23" s="380" t="str">
        <f>IF(ISBLANK(fixtures!$L167),"",IF(DW23&gt;DY23,"W",IF(DW23=DY23,"D","L")))</f>
        <v/>
      </c>
      <c r="EA23" s="380"/>
      <c r="EB23" s="380"/>
      <c r="EC23" s="207">
        <v>20</v>
      </c>
      <c r="ED23" s="19" t="s">
        <v>218</v>
      </c>
      <c r="EE23" s="239">
        <f ca="1">IFERROR(INDIRECT("fixtures!" &amp; Dashboard!J1 &amp;170) - Dashboard!K1/24,"TBC")</f>
        <v>46011.625</v>
      </c>
      <c r="EF23" s="19"/>
      <c r="EG23" s="19" t="s">
        <v>13</v>
      </c>
      <c r="EH23" s="19" t="s">
        <v>92</v>
      </c>
      <c r="EI23" s="207" t="str">
        <f>IF(ISBLANK(fixtures!$L170),"",fixtures!$L170)</f>
        <v/>
      </c>
      <c r="EJ23" s="19" t="str">
        <f>IF(ISBLANK(fixtures!$L170),"",":")</f>
        <v/>
      </c>
      <c r="EK23" s="209" t="str">
        <f>IF(ISBLANK(fixtures!$K170),"",fixtures!$K170)</f>
        <v/>
      </c>
      <c r="EL23" s="19" t="str">
        <f>IF(ISBLANK(fixtures!$L170),"",IF(EI23&gt;EK23,"W",IF(EI23=EK23,"D","L")))</f>
        <v/>
      </c>
      <c r="EM23" s="19"/>
      <c r="EN23" s="19"/>
      <c r="EO23" s="80">
        <v>20</v>
      </c>
      <c r="EP23" s="21" t="s">
        <v>218</v>
      </c>
      <c r="EQ23" s="245">
        <f ca="1">IFERROR(INDIRECT("fixtures!" &amp; Dashboard!J1 &amp;168) - Dashboard!K1/24,"TBC")</f>
        <v>46011.625</v>
      </c>
      <c r="ER23" s="21"/>
      <c r="ES23" s="21" t="s">
        <v>14</v>
      </c>
      <c r="ET23" s="21" t="s">
        <v>93</v>
      </c>
      <c r="EU23" s="80" t="str">
        <f>IF(ISBLANK(fixtures!$K168),"",fixtures!$K168)</f>
        <v/>
      </c>
      <c r="EV23" s="21" t="str">
        <f>IF(ISBLANK(fixtures!$L168),"",":")</f>
        <v/>
      </c>
      <c r="EW23" s="82" t="str">
        <f>IF(ISBLANK(fixtures!$L168),"",fixtures!$L168)</f>
        <v/>
      </c>
      <c r="EX23" s="21" t="str">
        <f>IF(ISBLANK(fixtures!$L168),"",IF(EU23&gt;EW23,"W",IF(EU23=EW23,"D","L")))</f>
        <v/>
      </c>
      <c r="EY23" s="21"/>
      <c r="EZ23" s="21"/>
      <c r="FA23" s="251">
        <v>20</v>
      </c>
      <c r="FB23" s="23" t="s">
        <v>218</v>
      </c>
      <c r="FC23" s="253">
        <f ca="1">IFERROR(INDIRECT("fixtures!" &amp; Dashboard!J1 &amp;162) - Dashboard!K1/24,"TBC")</f>
        <v>46011.625</v>
      </c>
      <c r="FD23" s="23"/>
      <c r="FE23" s="23" t="s">
        <v>2</v>
      </c>
      <c r="FF23" s="23" t="s">
        <v>92</v>
      </c>
      <c r="FG23" s="251" t="str">
        <f>IF(ISBLANK(fixtures!$L162),"",fixtures!$L162)</f>
        <v/>
      </c>
      <c r="FH23" s="23" t="str">
        <f>IF(ISBLANK(fixtures!$L162),"",":")</f>
        <v/>
      </c>
      <c r="FI23" s="252" t="str">
        <f>IF(ISBLANK(fixtures!$K162),"",fixtures!$K162)</f>
        <v/>
      </c>
      <c r="FJ23" s="23" t="str">
        <f>IF(ISBLANK(fixtures!$L162),"",IF(FG23&gt;FI23,"W",IF(FG23=FI23,"D","L")))</f>
        <v/>
      </c>
      <c r="FK23" s="23"/>
      <c r="FL23" s="23"/>
      <c r="FM23" s="85">
        <v>20</v>
      </c>
      <c r="FN23" s="25" t="s">
        <v>218</v>
      </c>
      <c r="FO23" s="259">
        <f ca="1">IFERROR(INDIRECT("fixtures!" &amp; Dashboard!J1 &amp;169) - Dashboard!K1/24,"TBC")</f>
        <v>46011.625</v>
      </c>
      <c r="FP23" s="25"/>
      <c r="FQ23" s="25" t="s">
        <v>6</v>
      </c>
      <c r="FR23" s="25" t="s">
        <v>93</v>
      </c>
      <c r="FS23" s="85" t="str">
        <f>IF(ISBLANK(fixtures!$K169),"",fixtures!$K169)</f>
        <v/>
      </c>
      <c r="FT23" s="25" t="str">
        <f>IF(ISBLANK(fixtures!$L169),"",":")</f>
        <v/>
      </c>
      <c r="FU23" s="87" t="str">
        <f>IF(ISBLANK(fixtures!$L169),"",fixtures!$L169)</f>
        <v/>
      </c>
      <c r="FV23" s="25" t="str">
        <f>IF(ISBLANK(fixtures!$L169),"",IF(FS23&gt;FU23,"W",IF(FS23=FU23,"D","L")))</f>
        <v/>
      </c>
      <c r="FW23" s="25"/>
      <c r="FX23" s="25"/>
      <c r="FY23" s="402">
        <v>20</v>
      </c>
      <c r="FZ23" s="390" t="s">
        <v>218</v>
      </c>
      <c r="GA23" s="404">
        <f ca="1">IFERROR(INDIRECT("fixtures!" &amp; Dashboard!J1 &amp;166) - Dashboard!K1/24,"TBC")</f>
        <v>46011.625</v>
      </c>
      <c r="GB23" s="390"/>
      <c r="GC23" s="390" t="s">
        <v>108</v>
      </c>
      <c r="GD23" s="390" t="s">
        <v>92</v>
      </c>
      <c r="GE23" s="402" t="str">
        <f>IF(ISBLANK(fixtures!$L166),"",fixtures!$L166)</f>
        <v/>
      </c>
      <c r="GF23" s="390" t="str">
        <f>IF(ISBLANK(fixtures!$L166),"",":")</f>
        <v/>
      </c>
      <c r="GG23" s="403" t="str">
        <f>IF(ISBLANK(fixtures!$K166),"",fixtures!$K166)</f>
        <v/>
      </c>
      <c r="GH23" s="390" t="str">
        <f>IF(ISBLANK(fixtures!$L166),"",IF(GE23&gt;GG23,"W",IF(GE23=GG23,"D","L")))</f>
        <v/>
      </c>
      <c r="GI23" s="390"/>
      <c r="GJ23" s="390"/>
      <c r="GK23" s="89">
        <v>20</v>
      </c>
      <c r="GL23" s="27" t="s">
        <v>218</v>
      </c>
      <c r="GM23" s="266">
        <f ca="1">IFERROR(INDIRECT("fixtures!" &amp; Dashboard!J1 &amp;170) - Dashboard!K1/24,"TBC")</f>
        <v>46011.625</v>
      </c>
      <c r="GN23" s="27"/>
      <c r="GO23" s="27" t="s">
        <v>9</v>
      </c>
      <c r="GP23" s="27" t="s">
        <v>93</v>
      </c>
      <c r="GQ23" s="89" t="str">
        <f>IF(ISBLANK(fixtures!$K170),"",fixtures!$K170)</f>
        <v/>
      </c>
      <c r="GR23" s="27" t="str">
        <f>IF(ISBLANK(fixtures!$L170),"",":")</f>
        <v/>
      </c>
      <c r="GS23" s="90" t="str">
        <f>IF(ISBLANK(fixtures!$L170),"",fixtures!$L170)</f>
        <v/>
      </c>
      <c r="GT23" s="27" t="str">
        <f>IF(ISBLANK(fixtures!$L170),"",IF(GQ23&gt;GS23,"W",IF(GQ23=GS23,"D","L")))</f>
        <v/>
      </c>
      <c r="GU23" s="27"/>
      <c r="GV23" s="27"/>
      <c r="GW23" s="382">
        <v>20</v>
      </c>
      <c r="GX23" s="380" t="s">
        <v>218</v>
      </c>
      <c r="GY23" s="384">
        <f ca="1">IFERROR(INDIRECT("fixtures!" &amp; Dashboard!J1 &amp;164) - Dashboard!K1/24,"TBC")</f>
        <v>46011.625</v>
      </c>
      <c r="GZ23" s="380"/>
      <c r="HA23" s="380" t="s">
        <v>4</v>
      </c>
      <c r="HB23" s="380" t="s">
        <v>92</v>
      </c>
      <c r="HC23" s="382" t="str">
        <f>IF(ISBLANK(fixtures!$L164),"",fixtures!$L164)</f>
        <v/>
      </c>
      <c r="HD23" s="380" t="str">
        <f>IF(ISBLANK(fixtures!$L164),"",":")</f>
        <v/>
      </c>
      <c r="HE23" s="383" t="str">
        <f>IF(ISBLANK(fixtures!$K164),"",fixtures!$K164)</f>
        <v/>
      </c>
      <c r="HF23" s="380" t="str">
        <f>IF(ISBLANK(fixtures!$L164),"",IF(HC23&gt;HE23,"W",IF(HC23=HE23,"D","L")))</f>
        <v/>
      </c>
      <c r="HG23" s="380"/>
      <c r="HH23" s="380"/>
      <c r="HI23" s="92">
        <v>20</v>
      </c>
      <c r="HJ23" s="29" t="s">
        <v>218</v>
      </c>
      <c r="HK23" s="272">
        <f ca="1">IFERROR(INDIRECT("fixtures!" &amp; Dashboard!J1 &amp;168) - Dashboard!K1/24,"TBC")</f>
        <v>46011.625</v>
      </c>
      <c r="HL23" s="29"/>
      <c r="HM23" s="29" t="s">
        <v>10</v>
      </c>
      <c r="HN23" s="29" t="s">
        <v>92</v>
      </c>
      <c r="HO23" s="92" t="str">
        <f>IF(ISBLANK(fixtures!$L168),"",fixtures!$L168)</f>
        <v/>
      </c>
      <c r="HP23" s="29" t="str">
        <f>IF(ISBLANK(fixtures!$L168),"",":")</f>
        <v/>
      </c>
      <c r="HQ23" s="94" t="str">
        <f>IF(ISBLANK(fixtures!$K168),"",fixtures!$K168)</f>
        <v/>
      </c>
      <c r="HR23" s="29" t="str">
        <f>IF(ISBLANK(fixtures!$L168),"",IF(HO23&gt;HQ23,"W",IF(HO23=HQ23,"D","L")))</f>
        <v/>
      </c>
      <c r="HS23" s="29"/>
      <c r="HT23" s="29"/>
      <c r="HU23" s="97">
        <v>20</v>
      </c>
      <c r="HV23" s="31" t="s">
        <v>218</v>
      </c>
      <c r="HW23" s="278">
        <f ca="1">IFERROR(INDIRECT("fixtures!" &amp; Dashboard!J1 &amp;171) - Dashboard!K1/24,"TBC")</f>
        <v>46011.625</v>
      </c>
      <c r="HX23" s="31"/>
      <c r="HY23" s="31" t="s">
        <v>107</v>
      </c>
      <c r="HZ23" s="31" t="s">
        <v>93</v>
      </c>
      <c r="IA23" s="97" t="str">
        <f>IF(ISBLANK(fixtures!$K171),"",fixtures!$K171)</f>
        <v/>
      </c>
      <c r="IB23" s="31" t="str">
        <f>IF(ISBLANK(fixtures!$L171),"",":")</f>
        <v/>
      </c>
      <c r="IC23" s="99" t="str">
        <f>IF(ISBLANK(fixtures!$L171),"",fixtures!$L171)</f>
        <v/>
      </c>
      <c r="ID23" s="31" t="str">
        <f>IF(ISBLANK(fixtures!$L171),"",IF(IA23&gt;IC23,"W",IF(IA23=IC23,"D","L")))</f>
        <v/>
      </c>
      <c r="IE23" s="31"/>
      <c r="IF23" s="31"/>
    </row>
    <row r="24" spans="1:243">
      <c r="A24" s="66">
        <v>27</v>
      </c>
      <c r="B24" s="6" t="s">
        <v>218</v>
      </c>
      <c r="C24" s="214">
        <f ca="1">IFERROR(INDIRECT("fixtures!" &amp; Dashboard!J1 &amp;172) - Dashboard!K1/24,"TBC")</f>
        <v>46018.625</v>
      </c>
      <c r="D24" s="6"/>
      <c r="E24" s="6" t="s">
        <v>4</v>
      </c>
      <c r="F24" s="6" t="s">
        <v>93</v>
      </c>
      <c r="G24" s="66" t="str">
        <f>IF(ISBLANK(fixtures!$K172),"",fixtures!$K172)</f>
        <v/>
      </c>
      <c r="H24" s="6" t="str">
        <f>IF(ISBLANK(fixtures!$L172),"",":")</f>
        <v/>
      </c>
      <c r="I24" s="68" t="str">
        <f>IF(ISBLANK(fixtures!$L172),"",fixtures!$L172)</f>
        <v/>
      </c>
      <c r="J24" s="6" t="str">
        <f>IF(ISBLANK(fixtures!$L172),"",IF(G24&gt;I24,"W",IF(G24=I24,"D","L")))</f>
        <v/>
      </c>
      <c r="K24" s="6"/>
      <c r="L24" s="6"/>
      <c r="M24" s="382">
        <v>27</v>
      </c>
      <c r="N24" s="380" t="s">
        <v>218</v>
      </c>
      <c r="O24" s="384">
        <f ca="1">IFERROR(INDIRECT("fixtures!" &amp; Dashboard!J1 &amp;175) - Dashboard!K1/24,"TBC")</f>
        <v>46018.625</v>
      </c>
      <c r="P24" s="380"/>
      <c r="Q24" s="380" t="s">
        <v>6</v>
      </c>
      <c r="R24" s="380" t="s">
        <v>92</v>
      </c>
      <c r="S24" s="382" t="str">
        <f>IF(ISBLANK(fixtures!$L175),"",fixtures!$L175)</f>
        <v/>
      </c>
      <c r="T24" s="380" t="str">
        <f>IF(ISBLANK(fixtures!$L175),"",":")</f>
        <v/>
      </c>
      <c r="U24" s="383" t="str">
        <f>IF(ISBLANK(fixtures!$K175),"",fixtures!$K175)</f>
        <v/>
      </c>
      <c r="V24" s="380" t="str">
        <f>IF(ISBLANK(fixtures!$L175),"",IF(S24&gt;U24,"W",IF(S24=U24,"D","L")))</f>
        <v/>
      </c>
      <c r="W24" s="380"/>
      <c r="X24" s="380"/>
      <c r="Y24" s="418">
        <v>27</v>
      </c>
      <c r="Z24" s="419" t="s">
        <v>218</v>
      </c>
      <c r="AA24" s="420">
        <f ca="1">IFERROR(INDIRECT("fixtures!" &amp; Dashboard!J1 &amp;173) - Dashboard!K1/24,"TBC")</f>
        <v>46018.625</v>
      </c>
      <c r="AB24" s="412"/>
      <c r="AC24" s="412" t="s">
        <v>107</v>
      </c>
      <c r="AD24" s="412" t="s">
        <v>92</v>
      </c>
      <c r="AE24" s="418" t="str">
        <f>IF(ISBLANK(fixtures!$L173),"",fixtures!$L173)</f>
        <v/>
      </c>
      <c r="AF24" s="412" t="str">
        <f>IF(ISBLANK(fixtures!$L173),"",":")</f>
        <v/>
      </c>
      <c r="AG24" s="419" t="str">
        <f>IF(ISBLANK(fixtures!$K173),"",fixtures!$K173)</f>
        <v/>
      </c>
      <c r="AH24" s="412" t="str">
        <f>IF(ISBLANK(fixtures!$L173),"",IF(AE24&gt;AG24,"W",IF(AE24=AG24,"D","L")))</f>
        <v/>
      </c>
      <c r="AI24" s="412"/>
      <c r="AJ24" s="412"/>
      <c r="AK24" s="427">
        <v>27</v>
      </c>
      <c r="AL24" s="413" t="s">
        <v>218</v>
      </c>
      <c r="AM24" s="429">
        <f ca="1">IFERROR(INDIRECT("fixtures!" &amp; Dashboard!J1 &amp;173) - Dashboard!K1/24,"TBC")</f>
        <v>46018.625</v>
      </c>
      <c r="AN24" s="413"/>
      <c r="AO24" s="413" t="s">
        <v>3</v>
      </c>
      <c r="AP24" s="413" t="s">
        <v>93</v>
      </c>
      <c r="AQ24" s="427" t="str">
        <f>IF(ISBLANK(fixtures!$K173),"",fixtures!$K173)</f>
        <v/>
      </c>
      <c r="AR24" s="413" t="str">
        <f>IF(ISBLANK(fixtures!$L173),"",":")</f>
        <v/>
      </c>
      <c r="AS24" s="428" t="str">
        <f>IF(ISBLANK(fixtures!$L173),"",fixtures!$L173)</f>
        <v/>
      </c>
      <c r="AT24" s="413" t="str">
        <f>IF(ISBLANK(fixtures!$L173),"",IF(AQ24&gt;AS24,"W",IF(AQ24=AS24,"D","L")))</f>
        <v/>
      </c>
      <c r="AU24" s="413"/>
      <c r="AV24" s="413"/>
      <c r="AW24" s="71">
        <v>27</v>
      </c>
      <c r="AX24" s="9" t="s">
        <v>218</v>
      </c>
      <c r="AY24" s="219">
        <f ca="1">IFERROR(INDIRECT("fixtures!" &amp; Dashboard!J1 &amp;172) - Dashboard!K1/24,"TBC")</f>
        <v>46018.625</v>
      </c>
      <c r="AZ24" s="9"/>
      <c r="BA24" s="9" t="s">
        <v>1</v>
      </c>
      <c r="BB24" s="9" t="s">
        <v>92</v>
      </c>
      <c r="BC24" s="71" t="str">
        <f>IF(ISBLANK(fixtures!$L172),"",fixtures!$L172)</f>
        <v/>
      </c>
      <c r="BD24" s="9" t="str">
        <f>IF(ISBLANK(fixtures!$L172),"",":")</f>
        <v/>
      </c>
      <c r="BE24" s="73" t="str">
        <f>IF(ISBLANK(fixtures!$K172),"",fixtures!$K172)</f>
        <v/>
      </c>
      <c r="BF24" s="9" t="str">
        <f>IF(ISBLANK(fixtures!$L172),"",IF(BC24&gt;BE24,"W",IF(BC24=BE24,"D","L")))</f>
        <v/>
      </c>
      <c r="BG24" s="9"/>
      <c r="BH24" s="9"/>
      <c r="BI24" s="436">
        <v>27</v>
      </c>
      <c r="BJ24" s="414" t="s">
        <v>218</v>
      </c>
      <c r="BK24" s="438">
        <f ca="1">IFERROR(INDIRECT("fixtures!" &amp; Dashboard!J1 &amp;174) - Dashboard!K1/24,"TBC")</f>
        <v>46018.625</v>
      </c>
      <c r="BL24" s="414"/>
      <c r="BM24" s="414" t="s">
        <v>8</v>
      </c>
      <c r="BN24" s="414" t="s">
        <v>93</v>
      </c>
      <c r="BO24" s="436" t="str">
        <f>IF(ISBLANK(fixtures!$K174),"",fixtures!$K174)</f>
        <v/>
      </c>
      <c r="BP24" s="414" t="str">
        <f>IF(ISBLANK(fixtures!$L174),"",":")</f>
        <v/>
      </c>
      <c r="BQ24" s="437" t="str">
        <f>IF(ISBLANK(fixtures!$L174),"",fixtures!$L174)</f>
        <v/>
      </c>
      <c r="BR24" s="414" t="str">
        <f>IF(ISBLANK(fixtures!$L174),"",IF(BO24&gt;BQ24,"W",IF(BO24=BQ24,"D","L")))</f>
        <v/>
      </c>
      <c r="BS24" s="414"/>
      <c r="BT24" s="414"/>
      <c r="BU24" s="146">
        <v>27</v>
      </c>
      <c r="BV24" s="13" t="s">
        <v>218</v>
      </c>
      <c r="BW24" s="225">
        <f ca="1">IFERROR(INDIRECT("fixtures!" &amp; Dashboard!J1 &amp;175) - Dashboard!K1/24,"TBC")</f>
        <v>46018.625</v>
      </c>
      <c r="BX24" s="13"/>
      <c r="BY24" s="13" t="s">
        <v>2</v>
      </c>
      <c r="BZ24" s="13" t="s">
        <v>93</v>
      </c>
      <c r="CA24" s="146" t="str">
        <f>IF(ISBLANK(fixtures!$K175),"",fixtures!$K175)</f>
        <v/>
      </c>
      <c r="CB24" s="13" t="str">
        <f>IF(ISBLANK(fixtures!$L175),"",":")</f>
        <v/>
      </c>
      <c r="CC24" s="148" t="str">
        <f>IF(ISBLANK(fixtures!$L175),"",fixtures!$L175)</f>
        <v/>
      </c>
      <c r="CD24" s="13" t="str">
        <f>IF(ISBLANK(fixtures!$L175),"",IF(CA24&gt;CC24,"W",IF(CA24=CC24,"D","L")))</f>
        <v/>
      </c>
      <c r="CE24" s="13"/>
      <c r="CF24" s="13"/>
      <c r="CG24" s="394">
        <v>27</v>
      </c>
      <c r="CH24" s="14" t="s">
        <v>218</v>
      </c>
      <c r="CI24" s="396">
        <f ca="1">IFERROR(INDIRECT("fixtures!" &amp; Dashboard!J1 &amp;176) - Dashboard!K1/24,"TBC")</f>
        <v>46018.625</v>
      </c>
      <c r="CJ24" s="14"/>
      <c r="CK24" s="14" t="s">
        <v>13</v>
      </c>
      <c r="CL24" s="14" t="s">
        <v>93</v>
      </c>
      <c r="CM24" s="394" t="str">
        <f>IF(ISBLANK(fixtures!$K176),"",fixtures!$K176)</f>
        <v/>
      </c>
      <c r="CN24" s="14" t="str">
        <f>IF(ISBLANK(fixtures!$L176),"",":")</f>
        <v/>
      </c>
      <c r="CO24" s="395" t="str">
        <f>IF(ISBLANK(fixtures!$L176),"",fixtures!$L176)</f>
        <v/>
      </c>
      <c r="CP24" s="14" t="str">
        <f>IF(ISBLANK(fixtures!$L176),"",IF(CM24&gt;CO24,"W",IF(CM24=CO24,"D","L")))</f>
        <v/>
      </c>
      <c r="CQ24" s="14"/>
      <c r="CR24" s="14"/>
      <c r="CS24" s="231">
        <v>27</v>
      </c>
      <c r="CT24" s="17" t="s">
        <v>218</v>
      </c>
      <c r="CU24" s="233">
        <f ca="1">IFERROR(INDIRECT("fixtures!" &amp; Dashboard!J1 &amp;174) - Dashboard!K1/24,"TBC")</f>
        <v>46018.625</v>
      </c>
      <c r="CV24" s="17"/>
      <c r="CW24" s="17" t="s">
        <v>5</v>
      </c>
      <c r="CX24" s="17" t="s">
        <v>92</v>
      </c>
      <c r="CY24" s="231" t="str">
        <f>IF(ISBLANK(fixtures!$L174),"",fixtures!$L174)</f>
        <v/>
      </c>
      <c r="CZ24" s="17" t="str">
        <f>IF(ISBLANK(fixtures!$L174),"",":")</f>
        <v/>
      </c>
      <c r="DA24" s="232" t="str">
        <f>IF(ISBLANK(fixtures!$K174),"",fixtures!$K174)</f>
        <v/>
      </c>
      <c r="DB24" s="17" t="str">
        <f>IF(ISBLANK(fixtures!$L174),"",IF(CY24&gt;DA24,"W",IF(CY24=DA24,"D","L")))</f>
        <v/>
      </c>
      <c r="DC24" s="17"/>
      <c r="DD24" s="17"/>
      <c r="DE24" s="444">
        <v>27</v>
      </c>
      <c r="DF24" s="445" t="s">
        <v>218</v>
      </c>
      <c r="DG24" s="446">
        <f ca="1">IFERROR(INDIRECT("fixtures!" &amp; Dashboard!J1 &amp;181) - Dashboard!K1/24,"TBC")</f>
        <v>46018.625</v>
      </c>
      <c r="DH24" s="143"/>
      <c r="DI24" s="143" t="s">
        <v>14</v>
      </c>
      <c r="DJ24" s="143" t="s">
        <v>92</v>
      </c>
      <c r="DK24" s="444" t="str">
        <f>IF(ISBLANK(fixtures!$L181),"",fixtures!$L181)</f>
        <v/>
      </c>
      <c r="DL24" s="143" t="str">
        <f>IF(ISBLANK(fixtures!$L181),"",":")</f>
        <v/>
      </c>
      <c r="DM24" s="445" t="str">
        <f>IF(ISBLANK(fixtures!$K181),"",fixtures!$K181)</f>
        <v/>
      </c>
      <c r="DN24" s="143" t="str">
        <f>IF(ISBLANK(fixtures!$L181),"",IF(DK24&gt;DM24,"W",IF(DK24=DM24,"D","L")))</f>
        <v/>
      </c>
      <c r="DO24" s="143"/>
      <c r="DP24" s="143"/>
      <c r="DQ24" s="382">
        <v>27</v>
      </c>
      <c r="DR24" s="380" t="s">
        <v>218</v>
      </c>
      <c r="DS24" s="384">
        <f ca="1">IFERROR(INDIRECT("fixtures!" &amp; Dashboard!J1 &amp;180) - Dashboard!K1/24,"TBC")</f>
        <v>46018.625</v>
      </c>
      <c r="DT24" s="380"/>
      <c r="DU24" s="380" t="s">
        <v>443</v>
      </c>
      <c r="DV24" s="380" t="s">
        <v>92</v>
      </c>
      <c r="DW24" s="382" t="str">
        <f>IF(ISBLANK(fixtures!$L180),"",fixtures!$L180)</f>
        <v/>
      </c>
      <c r="DX24" s="380" t="str">
        <f>IF(ISBLANK(fixtures!$L180),"",":")</f>
        <v/>
      </c>
      <c r="DY24" s="383" t="str">
        <f>IF(ISBLANK(fixtures!$K180),"",fixtures!$K180)</f>
        <v/>
      </c>
      <c r="DZ24" s="380" t="str">
        <f>IF(ISBLANK(fixtures!$L180),"",IF(DW24&gt;DY24,"W",IF(DW24=DY24,"D","L")))</f>
        <v/>
      </c>
      <c r="EA24" s="380"/>
      <c r="EB24" s="380"/>
      <c r="EC24" s="207">
        <v>27</v>
      </c>
      <c r="ED24" s="19" t="s">
        <v>218</v>
      </c>
      <c r="EE24" s="239">
        <f ca="1">IFERROR(INDIRECT("fixtures!" &amp; Dashboard!J1 &amp;177) - Dashboard!K1/24,"TBC")</f>
        <v>46018.625</v>
      </c>
      <c r="EF24" s="19"/>
      <c r="EG24" s="19" t="s">
        <v>15</v>
      </c>
      <c r="EH24" s="19" t="s">
        <v>93</v>
      </c>
      <c r="EI24" s="207" t="str">
        <f>IF(ISBLANK(fixtures!$K177),"",fixtures!$K177)</f>
        <v/>
      </c>
      <c r="EJ24" s="19" t="str">
        <f>IF(ISBLANK(fixtures!$L177),"",":")</f>
        <v/>
      </c>
      <c r="EK24" s="209" t="str">
        <f>IF(ISBLANK(fixtures!$L177),"",fixtures!$L177)</f>
        <v/>
      </c>
      <c r="EL24" s="19" t="str">
        <f>IF(ISBLANK(fixtures!$L177),"",IF(EI24&gt;EK24,"W",IF(EI24=EK24,"D","L")))</f>
        <v/>
      </c>
      <c r="EM24" s="19"/>
      <c r="EN24" s="19"/>
      <c r="EO24" s="80">
        <v>27</v>
      </c>
      <c r="EP24" s="82" t="s">
        <v>218</v>
      </c>
      <c r="EQ24" s="245">
        <f ca="1">IFERROR(INDIRECT("fixtures!" &amp; Dashboard!J1 &amp;179) - Dashboard!K1/24,"TBC")</f>
        <v>46018.625</v>
      </c>
      <c r="ER24" s="21"/>
      <c r="ES24" s="21" t="s">
        <v>188</v>
      </c>
      <c r="ET24" s="21" t="s">
        <v>92</v>
      </c>
      <c r="EU24" s="80" t="str">
        <f>IF(ISBLANK(fixtures!$L179),"",fixtures!$L179)</f>
        <v/>
      </c>
      <c r="EV24" s="21" t="str">
        <f>IF(ISBLANK(fixtures!$L179),"",":")</f>
        <v/>
      </c>
      <c r="EW24" s="82" t="str">
        <f>IF(ISBLANK(fixtures!$K179),"",fixtures!$K179)</f>
        <v/>
      </c>
      <c r="EX24" s="21" t="str">
        <f>IF(ISBLANK(fixtures!$L179),"",IF(EU24&gt;EW24,"W",IF(EU24=EW24,"D","L")))</f>
        <v/>
      </c>
      <c r="EY24" s="21"/>
      <c r="EZ24" s="21"/>
      <c r="FA24" s="251">
        <v>27</v>
      </c>
      <c r="FB24" s="23" t="s">
        <v>218</v>
      </c>
      <c r="FC24" s="253">
        <f ca="1">IFERROR(INDIRECT("fixtures!" &amp; Dashboard!J1 &amp;178) - Dashboard!K1/24,"TBC")</f>
        <v>46018.625</v>
      </c>
      <c r="FD24" s="23"/>
      <c r="FE24" s="23" t="s">
        <v>12</v>
      </c>
      <c r="FF24" s="23" t="s">
        <v>93</v>
      </c>
      <c r="FG24" s="251" t="str">
        <f>IF(ISBLANK(fixtures!$K178),"",fixtures!$K178)</f>
        <v/>
      </c>
      <c r="FH24" s="23" t="str">
        <f>IF(ISBLANK(fixtures!$L178),"",":")</f>
        <v/>
      </c>
      <c r="FI24" s="252" t="str">
        <f>IF(ISBLANK(fixtures!$L178),"",fixtures!$L178)</f>
        <v/>
      </c>
      <c r="FJ24" s="23" t="str">
        <f>IF(ISBLANK(fixtures!$L178),"",IF(FG24&gt;FI24,"W",IF(FG24=FI24,"D","L")))</f>
        <v/>
      </c>
      <c r="FK24" s="23"/>
      <c r="FL24" s="23"/>
      <c r="FM24" s="85">
        <v>27</v>
      </c>
      <c r="FN24" s="25" t="s">
        <v>218</v>
      </c>
      <c r="FO24" s="259">
        <f ca="1">IFERROR(INDIRECT("fixtures!" &amp; Dashboard!J1 &amp;178) - Dashboard!K1/24,"TBC")</f>
        <v>46018.625</v>
      </c>
      <c r="FP24" s="25"/>
      <c r="FQ24" s="25" t="s">
        <v>11</v>
      </c>
      <c r="FR24" s="25" t="s">
        <v>92</v>
      </c>
      <c r="FS24" s="85" t="str">
        <f>IF(ISBLANK(fixtures!$L178),"",fixtures!$L178)</f>
        <v/>
      </c>
      <c r="FT24" s="25" t="str">
        <f>IF(ISBLANK(fixtures!$L178),"",":")</f>
        <v/>
      </c>
      <c r="FU24" s="87" t="str">
        <f>IF(ISBLANK(fixtures!$K178),"",fixtures!$K178)</f>
        <v/>
      </c>
      <c r="FV24" s="25" t="str">
        <f>IF(ISBLANK(fixtures!$L178),"",IF(FS24&gt;FU24,"W",IF(FS24=FU24,"D","L")))</f>
        <v/>
      </c>
      <c r="FW24" s="25"/>
      <c r="FX24" s="25"/>
      <c r="FY24" s="402">
        <v>27</v>
      </c>
      <c r="FZ24" s="390" t="s">
        <v>218</v>
      </c>
      <c r="GA24" s="404">
        <f ca="1">IFERROR(INDIRECT("fixtures!" &amp; Dashboard!J1 &amp;179) - Dashboard!K1/24,"TBC")</f>
        <v>46018.625</v>
      </c>
      <c r="GB24" s="390"/>
      <c r="GC24" s="390" t="s">
        <v>10</v>
      </c>
      <c r="GD24" s="390" t="s">
        <v>93</v>
      </c>
      <c r="GE24" s="402" t="str">
        <f>IF(ISBLANK(fixtures!$K179),"",fixtures!$K179)</f>
        <v/>
      </c>
      <c r="GF24" s="390" t="str">
        <f>IF(ISBLANK(fixtures!$L179),"",":")</f>
        <v/>
      </c>
      <c r="GG24" s="403" t="str">
        <f>IF(ISBLANK(fixtures!$L179),"",fixtures!$L179)</f>
        <v/>
      </c>
      <c r="GH24" s="390" t="str">
        <f>IF(ISBLANK(fixtures!$L179),"",IF(GE24&gt;GG24,"W",IF(GE24=GG24,"D","L")))</f>
        <v/>
      </c>
      <c r="GI24" s="390"/>
      <c r="GJ24" s="390"/>
      <c r="GK24" s="89">
        <v>27</v>
      </c>
      <c r="GL24" s="90" t="s">
        <v>218</v>
      </c>
      <c r="GM24" s="266">
        <f ca="1">IFERROR(INDIRECT("fixtures!" &amp; Dashboard!J1 &amp;176) - Dashboard!K1/24,"TBC")</f>
        <v>46018.625</v>
      </c>
      <c r="GN24" s="27"/>
      <c r="GO24" s="27" t="s">
        <v>7</v>
      </c>
      <c r="GP24" s="27" t="s">
        <v>92</v>
      </c>
      <c r="GQ24" s="89" t="str">
        <f>IF(ISBLANK(fixtures!$L176),"",fixtures!$L176)</f>
        <v/>
      </c>
      <c r="GR24" s="27" t="str">
        <f>IF(ISBLANK(fixtures!$L176),"",":")</f>
        <v/>
      </c>
      <c r="GS24" s="90" t="str">
        <f>IF(ISBLANK(fixtures!$K176),"",fixtures!$K176)</f>
        <v/>
      </c>
      <c r="GT24" s="27" t="str">
        <f>IF(ISBLANK(fixtures!$L176),"",IF(GQ24&gt;GS24,"W",IF(GQ24=GS24,"D","L")))</f>
        <v/>
      </c>
      <c r="GU24" s="27"/>
      <c r="GV24" s="27"/>
      <c r="GW24" s="382">
        <v>27</v>
      </c>
      <c r="GX24" s="383" t="s">
        <v>218</v>
      </c>
      <c r="GY24" s="384">
        <f ca="1">IFERROR(INDIRECT("fixtures!" &amp; Dashboard!J1 &amp;180) - Dashboard!K1/24,"TBC")</f>
        <v>46018.625</v>
      </c>
      <c r="GZ24" s="380"/>
      <c r="HA24" s="380" t="s">
        <v>444</v>
      </c>
      <c r="HB24" s="380" t="s">
        <v>93</v>
      </c>
      <c r="HC24" s="382" t="str">
        <f>IF(ISBLANK(fixtures!$K180),"",fixtures!$K180)</f>
        <v/>
      </c>
      <c r="HD24" s="380" t="str">
        <f>IF(ISBLANK(fixtures!$L180),"",":")</f>
        <v/>
      </c>
      <c r="HE24" s="383" t="str">
        <f>IF(ISBLANK(fixtures!$L180),"",fixtures!$L180)</f>
        <v/>
      </c>
      <c r="HF24" s="380" t="str">
        <f>IF(ISBLANK(fixtures!$L180),"",IF(HC24&gt;HE24,"W",IF(HC24=HE24,"D","L")))</f>
        <v/>
      </c>
      <c r="HG24" s="380"/>
      <c r="HH24" s="380"/>
      <c r="HI24" s="92">
        <v>27</v>
      </c>
      <c r="HJ24" s="29" t="s">
        <v>218</v>
      </c>
      <c r="HK24" s="272">
        <f ca="1">IFERROR(INDIRECT("fixtures!" &amp; Dashboard!J1 &amp;181) - Dashboard!K1/24,"TBC")</f>
        <v>46018.625</v>
      </c>
      <c r="HL24" s="29"/>
      <c r="HM24" s="29" t="s">
        <v>108</v>
      </c>
      <c r="HN24" s="29" t="s">
        <v>93</v>
      </c>
      <c r="HO24" s="92" t="str">
        <f>IF(ISBLANK(fixtures!$K181),"",fixtures!$K181)</f>
        <v/>
      </c>
      <c r="HP24" s="29" t="str">
        <f>IF(ISBLANK(fixtures!$L181),"",":")</f>
        <v/>
      </c>
      <c r="HQ24" s="94" t="str">
        <f>IF(ISBLANK(fixtures!$L181),"",fixtures!$L181)</f>
        <v/>
      </c>
      <c r="HR24" s="29" t="str">
        <f>IF(ISBLANK(fixtures!$L181),"",IF(HO24&gt;HQ24,"W",IF(HO24=HQ24,"D","L")))</f>
        <v/>
      </c>
      <c r="HS24" s="29"/>
      <c r="HT24" s="29"/>
      <c r="HU24" s="97">
        <v>27</v>
      </c>
      <c r="HV24" s="31" t="s">
        <v>218</v>
      </c>
      <c r="HW24" s="278">
        <f ca="1">IFERROR(INDIRECT("fixtures!" &amp; Dashboard!J1 &amp;177) - Dashboard!K1/24,"TBC")</f>
        <v>46018.625</v>
      </c>
      <c r="HX24" s="31"/>
      <c r="HY24" s="31" t="s">
        <v>9</v>
      </c>
      <c r="HZ24" s="31" t="s">
        <v>92</v>
      </c>
      <c r="IA24" s="97" t="str">
        <f>IF(ISBLANK(fixtures!$L177),"",fixtures!$L177)</f>
        <v/>
      </c>
      <c r="IB24" s="31" t="str">
        <f>IF(ISBLANK(fixtures!$L177),"",":")</f>
        <v/>
      </c>
      <c r="IC24" s="99" t="str">
        <f>IF(ISBLANK(fixtures!$K177),"",fixtures!$K177)</f>
        <v/>
      </c>
      <c r="ID24" s="31" t="str">
        <f>IF(ISBLANK(fixtures!$L177),"",IF(IA24&gt;IC24,"W",IF(IA24=IC24,"D","L")))</f>
        <v/>
      </c>
      <c r="IE24" s="31"/>
      <c r="IF24" s="31"/>
    </row>
    <row r="25" spans="1:243">
      <c r="A25" s="66">
        <v>30</v>
      </c>
      <c r="B25" s="6" t="s">
        <v>438</v>
      </c>
      <c r="C25" s="214">
        <f ca="1">IFERROR(INDIRECT("fixtures!" &amp; Dashboard!J1 &amp;182) - Dashboard!K1/24,"TBC")</f>
        <v>46021.833333333336</v>
      </c>
      <c r="D25" s="6"/>
      <c r="E25" s="6" t="s">
        <v>2</v>
      </c>
      <c r="F25" s="6" t="s">
        <v>93</v>
      </c>
      <c r="G25" s="66" t="str">
        <f>IF(ISBLANK(fixtures!$K182),"",fixtures!$K182)</f>
        <v/>
      </c>
      <c r="H25" s="6" t="str">
        <f>IF(ISBLANK(fixtures!$L182),"",":")</f>
        <v/>
      </c>
      <c r="I25" s="68" t="str">
        <f>IF(ISBLANK(fixtures!$L182),"",fixtures!$L182)</f>
        <v/>
      </c>
      <c r="J25" s="6" t="str">
        <f>IF(ISBLANK(fixtures!$L182),"",IF(G25&gt;I25,"W",IF(G25=I25,"D","L")))</f>
        <v/>
      </c>
      <c r="K25" s="6"/>
      <c r="L25" s="6"/>
      <c r="M25" s="382">
        <v>30</v>
      </c>
      <c r="N25" s="383" t="s">
        <v>438</v>
      </c>
      <c r="O25" s="384">
        <f ca="1">IFERROR(INDIRECT("fixtures!" &amp; Dashboard!J1 &amp;182) - Dashboard!K1/24,"TBC")</f>
        <v>46021.833333333336</v>
      </c>
      <c r="P25" s="380"/>
      <c r="Q25" s="380" t="s">
        <v>1</v>
      </c>
      <c r="R25" s="380" t="s">
        <v>92</v>
      </c>
      <c r="S25" s="382" t="str">
        <f>IF(ISBLANK(fixtures!$L182),"",fixtures!$L182)</f>
        <v/>
      </c>
      <c r="T25" s="380" t="str">
        <f>IF(ISBLANK(fixtures!$L182),"",":")</f>
        <v/>
      </c>
      <c r="U25" s="383" t="str">
        <f>IF(ISBLANK(fixtures!$K182),"",fixtures!$K182)</f>
        <v/>
      </c>
      <c r="V25" s="380" t="str">
        <f>IF(ISBLANK(fixtures!$L182),"",IF(S25&gt;U25,"W",IF(S25=U25,"D","L")))</f>
        <v/>
      </c>
      <c r="W25" s="380"/>
      <c r="X25" s="380"/>
      <c r="Y25" s="418">
        <v>30</v>
      </c>
      <c r="Z25" s="419" t="s">
        <v>438</v>
      </c>
      <c r="AA25" s="420">
        <f ca="1">IFERROR(INDIRECT("fixtures!" &amp; Dashboard!J1 &amp;185) - Dashboard!K1/24,"TBC")</f>
        <v>46021.833333333336</v>
      </c>
      <c r="AB25" s="412"/>
      <c r="AC25" s="412" t="s">
        <v>6</v>
      </c>
      <c r="AD25" s="412" t="s">
        <v>92</v>
      </c>
      <c r="AE25" s="418" t="str">
        <f>IF(ISBLANK(fixtures!$L185),"",fixtures!$L185)</f>
        <v/>
      </c>
      <c r="AF25" s="412" t="str">
        <f>IF(ISBLANK(fixtures!$L185),"",":")</f>
        <v/>
      </c>
      <c r="AG25" s="419" t="str">
        <f>IF(ISBLANK(fixtures!$K185),"",fixtures!$K185)</f>
        <v/>
      </c>
      <c r="AH25" s="412" t="str">
        <f>IF(ISBLANK(fixtures!$L185),"",IF(AE25&gt;AG25,"W",IF(AE25=AG25,"D","L")))</f>
        <v/>
      </c>
      <c r="AI25" s="412"/>
      <c r="AJ25" s="412"/>
      <c r="AK25" s="427">
        <v>30</v>
      </c>
      <c r="AL25" s="413" t="s">
        <v>438</v>
      </c>
      <c r="AM25" s="429">
        <f ca="1">IFERROR(INDIRECT("fixtures!" &amp; Dashboard!J1 &amp;183) - Dashboard!K1/24,"TBC")</f>
        <v>46021.833333333336</v>
      </c>
      <c r="AN25" s="413"/>
      <c r="AO25" s="413" t="s">
        <v>13</v>
      </c>
      <c r="AP25" s="413" t="s">
        <v>93</v>
      </c>
      <c r="AQ25" s="427" t="str">
        <f>IF(ISBLANK(fixtures!$K183),"",fixtures!$K183)</f>
        <v/>
      </c>
      <c r="AR25" s="413" t="str">
        <f>IF(ISBLANK(fixtures!$L183),"",":")</f>
        <v/>
      </c>
      <c r="AS25" s="428" t="str">
        <f>IF(ISBLANK(fixtures!$L183),"",fixtures!$L183)</f>
        <v/>
      </c>
      <c r="AT25" s="413" t="str">
        <f>IF(ISBLANK(fixtures!$L183),"",IF(AQ25&gt;AS25,"W",IF(AQ25=AS25,"D","L")))</f>
        <v/>
      </c>
      <c r="AU25" s="413"/>
      <c r="AV25" s="413"/>
      <c r="AW25" s="71">
        <v>30</v>
      </c>
      <c r="AX25" s="73" t="s">
        <v>438</v>
      </c>
      <c r="AY25" s="219">
        <f ca="1">IFERROR(INDIRECT("fixtures!" &amp; Dashboard!J1 &amp;191) - Dashboard!K1/24,"TBC")</f>
        <v>46021.833333333336</v>
      </c>
      <c r="AZ25" s="9"/>
      <c r="BA25" s="9" t="s">
        <v>14</v>
      </c>
      <c r="BB25" s="9" t="s">
        <v>92</v>
      </c>
      <c r="BC25" s="71" t="str">
        <f>IF(ISBLANK(fixtures!$L191),"",fixtures!$L191)</f>
        <v/>
      </c>
      <c r="BD25" s="9" t="str">
        <f>IF(ISBLANK(fixtures!$L191),"",":")</f>
        <v/>
      </c>
      <c r="BE25" s="73" t="str">
        <f>IF(ISBLANK(fixtures!$K191),"",fixtures!$K191)</f>
        <v/>
      </c>
      <c r="BF25" s="9" t="str">
        <f>IF(ISBLANK(fixtures!$L191),"",IF(BC25&gt;BE25,"W",IF(BC25=BE25,"D","L")))</f>
        <v/>
      </c>
      <c r="BG25" s="9"/>
      <c r="BH25" s="9"/>
      <c r="BI25" s="436">
        <v>30</v>
      </c>
      <c r="BJ25" s="414" t="s">
        <v>438</v>
      </c>
      <c r="BK25" s="438">
        <f ca="1">IFERROR(INDIRECT("fixtures!" &amp; Dashboard!J1 &amp;184) - Dashboard!K1/24,"TBC")</f>
        <v>46021.833333333336</v>
      </c>
      <c r="BL25" s="414"/>
      <c r="BM25" s="414" t="s">
        <v>12</v>
      </c>
      <c r="BN25" s="414" t="s">
        <v>93</v>
      </c>
      <c r="BO25" s="436" t="str">
        <f>IF(ISBLANK(fixtures!$K184),"",fixtures!$K184)</f>
        <v/>
      </c>
      <c r="BP25" s="414" t="str">
        <f>IF(ISBLANK(fixtures!$L184),"",":")</f>
        <v/>
      </c>
      <c r="BQ25" s="437" t="str">
        <f>IF(ISBLANK(fixtures!$L184),"",fixtures!$L184)</f>
        <v/>
      </c>
      <c r="BR25" s="414" t="str">
        <f>IF(ISBLANK(fixtures!$L184),"",IF(BO25&gt;BQ25,"W",IF(BO25=BQ25,"D","L")))</f>
        <v/>
      </c>
      <c r="BS25" s="414"/>
      <c r="BT25" s="414"/>
      <c r="BU25" s="146">
        <v>30</v>
      </c>
      <c r="BV25" s="148" t="s">
        <v>438</v>
      </c>
      <c r="BW25" s="225">
        <f ca="1">IFERROR(INDIRECT("fixtures!" &amp; Dashboard!J1 &amp;185) - Dashboard!K1/24,"TBC")</f>
        <v>46021.833333333336</v>
      </c>
      <c r="BX25" s="13"/>
      <c r="BY25" s="13" t="s">
        <v>3</v>
      </c>
      <c r="BZ25" s="13" t="s">
        <v>93</v>
      </c>
      <c r="CA25" s="146" t="str">
        <f>IF(ISBLANK(fixtures!$K185),"",fixtures!$K185)</f>
        <v/>
      </c>
      <c r="CB25" s="13" t="str">
        <f>IF(ISBLANK(fixtures!$L185),"",":")</f>
        <v/>
      </c>
      <c r="CC25" s="148" t="str">
        <f>IF(ISBLANK(fixtures!$L185),"",fixtures!$L185)</f>
        <v/>
      </c>
      <c r="CD25" s="13" t="str">
        <f>IF(ISBLANK(fixtures!$L185),"",IF(CA25&gt;CC25,"W",IF(CA25=CC25,"D","L")))</f>
        <v/>
      </c>
      <c r="CE25" s="13"/>
      <c r="CF25" s="13"/>
      <c r="CG25" s="394">
        <v>30</v>
      </c>
      <c r="CH25" s="395" t="s">
        <v>438</v>
      </c>
      <c r="CI25" s="396">
        <f ca="1">IFERROR(INDIRECT("fixtures!" &amp; Dashboard!J1 &amp;186) - Dashboard!K1/24,"TBC")</f>
        <v>46021.833333333336</v>
      </c>
      <c r="CJ25" s="14"/>
      <c r="CK25" s="14" t="s">
        <v>108</v>
      </c>
      <c r="CL25" s="14" t="s">
        <v>93</v>
      </c>
      <c r="CM25" s="394" t="str">
        <f>IF(ISBLANK(fixtures!$K186),"",fixtures!$K186)</f>
        <v/>
      </c>
      <c r="CN25" s="14" t="str">
        <f>IF(ISBLANK(fixtures!$L186),"",":")</f>
        <v/>
      </c>
      <c r="CO25" s="395" t="str">
        <f>IF(ISBLANK(fixtures!$L186),"",fixtures!$L186)</f>
        <v/>
      </c>
      <c r="CP25" s="14" t="str">
        <f>IF(ISBLANK(fixtures!$L186),"",IF(CM25&gt;CO25,"W",IF(CM25=CO25,"D","L")))</f>
        <v/>
      </c>
      <c r="CQ25" s="14"/>
      <c r="CR25" s="14"/>
      <c r="CS25" s="231">
        <v>30</v>
      </c>
      <c r="CT25" s="17" t="s">
        <v>438</v>
      </c>
      <c r="CU25" s="233">
        <f ca="1">IFERROR(INDIRECT("fixtures!" &amp; Dashboard!J1 &amp;189) - Dashboard!K1/24,"TBC")</f>
        <v>46021.833333333336</v>
      </c>
      <c r="CV25" s="17"/>
      <c r="CW25" s="17" t="s">
        <v>188</v>
      </c>
      <c r="CX25" s="17" t="s">
        <v>92</v>
      </c>
      <c r="CY25" s="231" t="str">
        <f>IF(ISBLANK(fixtures!$L189),"",fixtures!$L189)</f>
        <v/>
      </c>
      <c r="CZ25" s="17" t="str">
        <f>IF(ISBLANK(fixtures!$L189),"",":")</f>
        <v/>
      </c>
      <c r="DA25" s="232" t="str">
        <f>IF(ISBLANK(fixtures!$K189),"",fixtures!$K189)</f>
        <v/>
      </c>
      <c r="DB25" s="17" t="str">
        <f>IF(ISBLANK(fixtures!$L189),"",IF(CY25&gt;DA25,"W",IF(CY25=DA25,"D","L")))</f>
        <v/>
      </c>
      <c r="DC25" s="17"/>
      <c r="DD25" s="17"/>
      <c r="DE25" s="444">
        <v>30</v>
      </c>
      <c r="DF25" s="445" t="s">
        <v>438</v>
      </c>
      <c r="DG25" s="446">
        <f ca="1">IFERROR(INDIRECT("fixtures!" &amp; Dashboard!J1 &amp;186) - Dashboard!K1/24,"TBC")</f>
        <v>46021.833333333336</v>
      </c>
      <c r="DH25" s="143"/>
      <c r="DI25" s="143" t="s">
        <v>7</v>
      </c>
      <c r="DJ25" s="143" t="s">
        <v>92</v>
      </c>
      <c r="DK25" s="444" t="str">
        <f>IF(ISBLANK(fixtures!$L186),"",fixtures!$L186)</f>
        <v/>
      </c>
      <c r="DL25" s="143" t="str">
        <f>IF(ISBLANK(fixtures!$L186),"",":")</f>
        <v/>
      </c>
      <c r="DM25" s="445" t="str">
        <f>IF(ISBLANK(fixtures!$K186),"",fixtures!$K186)</f>
        <v/>
      </c>
      <c r="DN25" s="143" t="str">
        <f>IF(ISBLANK(fixtures!$L186),"",IF(DK25&gt;DM25,"W",IF(DK25=DM25,"D","L")))</f>
        <v/>
      </c>
      <c r="DO25" s="143"/>
      <c r="DP25" s="143"/>
      <c r="DQ25" s="382">
        <v>30</v>
      </c>
      <c r="DR25" s="380" t="s">
        <v>438</v>
      </c>
      <c r="DS25" s="384">
        <f ca="1">IFERROR(INDIRECT("fixtures!" &amp; Dashboard!J1 &amp;187) - Dashboard!K1/24,"TBC")</f>
        <v>46021.833333333336</v>
      </c>
      <c r="DT25" s="380"/>
      <c r="DU25" s="380" t="s">
        <v>9</v>
      </c>
      <c r="DV25" s="380" t="s">
        <v>92</v>
      </c>
      <c r="DW25" s="382" t="str">
        <f>IF(ISBLANK(fixtures!$L187),"",fixtures!$L187)</f>
        <v/>
      </c>
      <c r="DX25" s="380" t="str">
        <f>IF(ISBLANK(fixtures!$L187),"",":")</f>
        <v/>
      </c>
      <c r="DY25" s="383" t="str">
        <f>IF(ISBLANK(fixtures!$K187),"",fixtures!$K187)</f>
        <v/>
      </c>
      <c r="DZ25" s="380" t="str">
        <f>IF(ISBLANK(fixtures!$L187),"",IF(DW25&gt;DY25,"W",IF(DW25=DY25,"D","L")))</f>
        <v/>
      </c>
      <c r="EA25" s="380"/>
      <c r="EB25" s="380"/>
      <c r="EC25" s="207">
        <v>30</v>
      </c>
      <c r="ED25" s="19" t="s">
        <v>438</v>
      </c>
      <c r="EE25" s="239">
        <f ca="1">IFERROR(INDIRECT("fixtures!" &amp; Dashboard!J1 &amp;187) - Dashboard!K1/24,"TBC")</f>
        <v>46021.833333333336</v>
      </c>
      <c r="EF25" s="19"/>
      <c r="EG25" s="19" t="s">
        <v>444</v>
      </c>
      <c r="EH25" s="19" t="s">
        <v>93</v>
      </c>
      <c r="EI25" s="207" t="str">
        <f>IF(ISBLANK(fixtures!$K187),"",fixtures!$K187)</f>
        <v/>
      </c>
      <c r="EJ25" s="19" t="str">
        <f>IF(ISBLANK(fixtures!$L187),"",":")</f>
        <v/>
      </c>
      <c r="EK25" s="209" t="str">
        <f>IF(ISBLANK(fixtures!$L187),"",fixtures!$L187)</f>
        <v/>
      </c>
      <c r="EL25" s="19" t="str">
        <f>IF(ISBLANK(fixtures!$L187),"",IF(EI25&gt;EK25,"W",IF(EI25=EK25,"D","L")))</f>
        <v/>
      </c>
      <c r="EM25" s="19"/>
      <c r="EN25" s="19"/>
      <c r="EO25" s="80">
        <v>30</v>
      </c>
      <c r="EP25" s="82" t="s">
        <v>438</v>
      </c>
      <c r="EQ25" s="245">
        <f ca="1">IFERROR(INDIRECT("fixtures!" &amp; Dashboard!J1 &amp;190) - Dashboard!K1/24,"TBC")</f>
        <v>46021.833333333336</v>
      </c>
      <c r="ER25" s="21"/>
      <c r="ES25" s="21" t="s">
        <v>443</v>
      </c>
      <c r="ET25" s="21" t="s">
        <v>92</v>
      </c>
      <c r="EU25" s="80" t="str">
        <f>IF(ISBLANK(fixtures!$L190),"",fixtures!$L190)</f>
        <v/>
      </c>
      <c r="EV25" s="21" t="str">
        <f>IF(ISBLANK(fixtures!$L190),"",":")</f>
        <v/>
      </c>
      <c r="EW25" s="82" t="str">
        <f>IF(ISBLANK(fixtures!$K190),"",fixtures!$K190)</f>
        <v/>
      </c>
      <c r="EX25" s="21" t="str">
        <f>IF(ISBLANK(fixtures!$L190),"",IF(EU25&gt;EW25,"W",IF(EU25=EW25,"D","L")))</f>
        <v/>
      </c>
      <c r="EY25" s="21"/>
      <c r="EZ25" s="21"/>
      <c r="FA25" s="251">
        <v>30</v>
      </c>
      <c r="FB25" s="23" t="s">
        <v>438</v>
      </c>
      <c r="FC25" s="253">
        <f ca="1">IFERROR(INDIRECT("fixtures!" &amp; Dashboard!J1 &amp;188) - Dashboard!K1/24,"TBC")</f>
        <v>46021.833333333336</v>
      </c>
      <c r="FD25" s="23"/>
      <c r="FE25" s="23" t="s">
        <v>15</v>
      </c>
      <c r="FF25" s="23" t="s">
        <v>93</v>
      </c>
      <c r="FG25" s="251" t="str">
        <f>IF(ISBLANK(fixtures!$K188),"",fixtures!$K188)</f>
        <v/>
      </c>
      <c r="FH25" s="23" t="str">
        <f>IF(ISBLANK(fixtures!$L188),"",":")</f>
        <v/>
      </c>
      <c r="FI25" s="252" t="str">
        <f>IF(ISBLANK(fixtures!$L188),"",fixtures!$L188)</f>
        <v/>
      </c>
      <c r="FJ25" s="23" t="str">
        <f>IF(ISBLANK(fixtures!$L188),"",IF(FG25&gt;FI25,"W",IF(FG25=FI25,"D","L")))</f>
        <v/>
      </c>
      <c r="FK25" s="23"/>
      <c r="FL25" s="23"/>
      <c r="FM25" s="85">
        <v>30</v>
      </c>
      <c r="FN25" s="87" t="s">
        <v>438</v>
      </c>
      <c r="FO25" s="259">
        <f ca="1">IFERROR(INDIRECT("fixtures!" &amp; Dashboard!J1 &amp;184) - Dashboard!K1/24,"TBC")</f>
        <v>46021.833333333336</v>
      </c>
      <c r="FP25" s="25"/>
      <c r="FQ25" s="25" t="s">
        <v>5</v>
      </c>
      <c r="FR25" s="25" t="s">
        <v>92</v>
      </c>
      <c r="FS25" s="85" t="str">
        <f>IF(ISBLANK(fixtures!$L184),"",fixtures!$L184)</f>
        <v/>
      </c>
      <c r="FT25" s="25" t="str">
        <f>IF(ISBLANK(fixtures!$L184),"",":")</f>
        <v/>
      </c>
      <c r="FU25" s="87" t="str">
        <f>IF(ISBLANK(fixtures!$K184),"",fixtures!$K184)</f>
        <v/>
      </c>
      <c r="FV25" s="25" t="str">
        <f>IF(ISBLANK(fixtures!$L184),"",IF(FS25&gt;FU25,"W",IF(FS25=FU25,"D","L")))</f>
        <v/>
      </c>
      <c r="FW25" s="25"/>
      <c r="FX25" s="25"/>
      <c r="FY25" s="402">
        <v>30</v>
      </c>
      <c r="FZ25" s="403" t="s">
        <v>438</v>
      </c>
      <c r="GA25" s="404">
        <f ca="1">IFERROR(INDIRECT("fixtures!" &amp; Dashboard!J1 &amp;189) - Dashboard!K1/24,"TBC")</f>
        <v>46021.833333333336</v>
      </c>
      <c r="GB25" s="390"/>
      <c r="GC25" s="390" t="s">
        <v>8</v>
      </c>
      <c r="GD25" s="390" t="s">
        <v>93</v>
      </c>
      <c r="GE25" s="402" t="str">
        <f>IF(ISBLANK(fixtures!$K189),"",fixtures!$K189)</f>
        <v/>
      </c>
      <c r="GF25" s="390" t="str">
        <f>IF(ISBLANK(fixtures!$L189),"",":")</f>
        <v/>
      </c>
      <c r="GG25" s="403" t="str">
        <f>IF(ISBLANK(fixtures!$L189),"",fixtures!$L189)</f>
        <v/>
      </c>
      <c r="GH25" s="390" t="str">
        <f>IF(ISBLANK(fixtures!$L189),"",IF(GE25&gt;GG25,"W",IF(GE25=GG25,"D","L")))</f>
        <v/>
      </c>
      <c r="GI25" s="390"/>
      <c r="GJ25" s="390"/>
      <c r="GK25" s="89">
        <v>30</v>
      </c>
      <c r="GL25" s="90" t="s">
        <v>438</v>
      </c>
      <c r="GM25" s="266">
        <f ca="1">IFERROR(INDIRECT("fixtures!" &amp; Dashboard!J1 &amp;183) - Dashboard!K1/24,"TBC")</f>
        <v>46021.833333333336</v>
      </c>
      <c r="GN25" s="27"/>
      <c r="GO25" s="27" t="s">
        <v>107</v>
      </c>
      <c r="GP25" s="27" t="s">
        <v>92</v>
      </c>
      <c r="GQ25" s="89" t="str">
        <f>IF(ISBLANK(fixtures!$L183),"",fixtures!$L183)</f>
        <v/>
      </c>
      <c r="GR25" s="27" t="str">
        <f>IF(ISBLANK(fixtures!$L183),"",":")</f>
        <v/>
      </c>
      <c r="GS25" s="90" t="str">
        <f>IF(ISBLANK(fixtures!$K183),"",fixtures!$K183)</f>
        <v/>
      </c>
      <c r="GT25" s="27" t="str">
        <f>IF(ISBLANK(fixtures!$L183),"",IF(GQ25&gt;GS25,"W",IF(GQ25=GS25,"D","L")))</f>
        <v/>
      </c>
      <c r="GU25" s="27"/>
      <c r="GV25" s="27"/>
      <c r="GW25" s="382">
        <v>30</v>
      </c>
      <c r="GX25" s="383" t="s">
        <v>438</v>
      </c>
      <c r="GY25" s="384">
        <f ca="1">IFERROR(INDIRECT("fixtures!" &amp; Dashboard!J1 &amp;190) - Dashboard!K1/24,"TBC")</f>
        <v>46021.833333333336</v>
      </c>
      <c r="GZ25" s="380"/>
      <c r="HA25" s="380" t="s">
        <v>10</v>
      </c>
      <c r="HB25" s="380" t="s">
        <v>93</v>
      </c>
      <c r="HC25" s="382" t="str">
        <f>IF(ISBLANK(fixtures!$K190),"",fixtures!$K190)</f>
        <v/>
      </c>
      <c r="HD25" s="380" t="str">
        <f>IF(ISBLANK(fixtures!$L190),"",":")</f>
        <v/>
      </c>
      <c r="HE25" s="383" t="str">
        <f>IF(ISBLANK(fixtures!$L190),"",fixtures!$L190)</f>
        <v/>
      </c>
      <c r="HF25" s="380" t="str">
        <f>IF(ISBLANK(fixtures!$L190),"",IF(HC25&gt;HE25,"W",IF(HC25=HE25,"D","L")))</f>
        <v/>
      </c>
      <c r="HG25" s="380"/>
      <c r="HH25" s="380"/>
      <c r="HI25" s="92">
        <v>30</v>
      </c>
      <c r="HJ25" s="94" t="s">
        <v>438</v>
      </c>
      <c r="HK25" s="272">
        <f ca="1">IFERROR(INDIRECT("fixtures!" &amp; Dashboard!J1 &amp;191) - Dashboard!K1/24,"TBC")</f>
        <v>46021.833333333336</v>
      </c>
      <c r="HL25" s="29"/>
      <c r="HM25" s="29" t="s">
        <v>4</v>
      </c>
      <c r="HN25" s="29" t="s">
        <v>93</v>
      </c>
      <c r="HO25" s="92" t="str">
        <f>IF(ISBLANK(fixtures!$K191),"",fixtures!$K191)</f>
        <v/>
      </c>
      <c r="HP25" s="29" t="str">
        <f>IF(ISBLANK(fixtures!$L191),"",":")</f>
        <v/>
      </c>
      <c r="HQ25" s="94" t="str">
        <f>IF(ISBLANK(fixtures!$L191),"",fixtures!$L191)</f>
        <v/>
      </c>
      <c r="HR25" s="29" t="str">
        <f>IF(ISBLANK(fixtures!$L191),"",IF(HO25&gt;HQ25,"W",IF(HO25=HQ25,"D","L")))</f>
        <v/>
      </c>
      <c r="HS25" s="29"/>
      <c r="HT25" s="29"/>
      <c r="HU25" s="97">
        <v>30</v>
      </c>
      <c r="HV25" s="31" t="s">
        <v>438</v>
      </c>
      <c r="HW25" s="278">
        <f ca="1">IFERROR(INDIRECT("fixtures!" &amp; Dashboard!J1 &amp;188) - Dashboard!K1/24,"TBC")</f>
        <v>46021.833333333336</v>
      </c>
      <c r="HX25" s="31"/>
      <c r="HY25" s="31" t="s">
        <v>11</v>
      </c>
      <c r="HZ25" s="31" t="s">
        <v>92</v>
      </c>
      <c r="IA25" s="97" t="str">
        <f>IF(ISBLANK(fixtures!$L188),"",fixtures!$L188)</f>
        <v/>
      </c>
      <c r="IB25" s="31" t="str">
        <f>IF(ISBLANK(fixtures!$L188),"",":")</f>
        <v/>
      </c>
      <c r="IC25" s="99" t="str">
        <f>IF(ISBLANK(fixtures!$K188),"",fixtures!$K188)</f>
        <v/>
      </c>
      <c r="ID25" s="31" t="str">
        <f>IF(ISBLANK(fixtures!$L188),"",IF(IA25&gt;IC25,"W",IF(IA25=IC25,"D","L")))</f>
        <v/>
      </c>
      <c r="IE25" s="31"/>
      <c r="IF25" s="31"/>
    </row>
    <row r="26" spans="1:243">
      <c r="A26" s="215" t="s">
        <v>21</v>
      </c>
      <c r="B26" s="6"/>
      <c r="C26" s="214"/>
      <c r="D26" s="6"/>
      <c r="E26" s="6"/>
      <c r="F26" s="6"/>
      <c r="G26" s="66"/>
      <c r="H26" s="6"/>
      <c r="I26" s="68"/>
      <c r="J26" s="6"/>
      <c r="K26" s="6"/>
      <c r="L26" s="6"/>
      <c r="M26" s="385" t="s">
        <v>21</v>
      </c>
      <c r="N26" s="380"/>
      <c r="O26" s="384"/>
      <c r="P26" s="380"/>
      <c r="Q26" s="380"/>
      <c r="R26" s="380"/>
      <c r="S26" s="382"/>
      <c r="T26" s="380"/>
      <c r="U26" s="383"/>
      <c r="V26" s="380"/>
      <c r="W26" s="380"/>
      <c r="X26" s="380"/>
      <c r="Y26" s="421" t="s">
        <v>21</v>
      </c>
      <c r="Z26" s="412"/>
      <c r="AA26" s="420"/>
      <c r="AB26" s="412"/>
      <c r="AC26" s="412"/>
      <c r="AD26" s="412"/>
      <c r="AE26" s="418"/>
      <c r="AF26" s="412"/>
      <c r="AG26" s="419"/>
      <c r="AH26" s="412"/>
      <c r="AI26" s="412"/>
      <c r="AJ26" s="412"/>
      <c r="AK26" s="430" t="s">
        <v>21</v>
      </c>
      <c r="AL26" s="413"/>
      <c r="AM26" s="429"/>
      <c r="AN26" s="413"/>
      <c r="AO26" s="413"/>
      <c r="AP26" s="413"/>
      <c r="AQ26" s="427"/>
      <c r="AR26" s="413"/>
      <c r="AS26" s="428"/>
      <c r="AT26" s="413"/>
      <c r="AU26" s="413"/>
      <c r="AV26" s="413"/>
      <c r="AW26" s="220" t="s">
        <v>21</v>
      </c>
      <c r="AX26" s="73"/>
      <c r="AY26" s="219"/>
      <c r="AZ26" s="9"/>
      <c r="BA26" s="9"/>
      <c r="BB26" s="9"/>
      <c r="BC26" s="71"/>
      <c r="BD26" s="9"/>
      <c r="BE26" s="73"/>
      <c r="BF26" s="9"/>
      <c r="BG26" s="9"/>
      <c r="BH26" s="9"/>
      <c r="BI26" s="439" t="s">
        <v>21</v>
      </c>
      <c r="BJ26" s="414"/>
      <c r="BK26" s="438"/>
      <c r="BL26" s="414"/>
      <c r="BM26" s="414"/>
      <c r="BN26" s="414"/>
      <c r="BO26" s="436"/>
      <c r="BP26" s="414"/>
      <c r="BQ26" s="437"/>
      <c r="BR26" s="414"/>
      <c r="BS26" s="414"/>
      <c r="BT26" s="414"/>
      <c r="BU26" s="226" t="s">
        <v>21</v>
      </c>
      <c r="BV26" s="13"/>
      <c r="BW26" s="225"/>
      <c r="BX26" s="13"/>
      <c r="BY26" s="13"/>
      <c r="BZ26" s="13"/>
      <c r="CA26" s="146"/>
      <c r="CB26" s="13"/>
      <c r="CC26" s="148"/>
      <c r="CD26" s="13"/>
      <c r="CE26" s="13"/>
      <c r="CF26" s="13"/>
      <c r="CG26" s="397" t="s">
        <v>21</v>
      </c>
      <c r="CH26" s="395"/>
      <c r="CI26" s="396"/>
      <c r="CJ26" s="14"/>
      <c r="CK26" s="14"/>
      <c r="CL26" s="14"/>
      <c r="CM26" s="394"/>
      <c r="CN26" s="14"/>
      <c r="CO26" s="395"/>
      <c r="CP26" s="14"/>
      <c r="CQ26" s="14"/>
      <c r="CR26" s="14"/>
      <c r="CS26" s="234" t="s">
        <v>21</v>
      </c>
      <c r="CT26" s="232"/>
      <c r="CU26" s="233"/>
      <c r="CV26" s="17"/>
      <c r="CW26" s="17"/>
      <c r="CX26" s="17"/>
      <c r="CY26" s="231"/>
      <c r="CZ26" s="17"/>
      <c r="DA26" s="232"/>
      <c r="DB26" s="17"/>
      <c r="DC26" s="17"/>
      <c r="DD26" s="17"/>
      <c r="DE26" s="447" t="s">
        <v>21</v>
      </c>
      <c r="DF26" s="445"/>
      <c r="DG26" s="446"/>
      <c r="DH26" s="143"/>
      <c r="DI26" s="143"/>
      <c r="DJ26" s="143"/>
      <c r="DK26" s="444"/>
      <c r="DL26" s="143"/>
      <c r="DM26" s="445"/>
      <c r="DN26" s="143"/>
      <c r="DO26" s="143"/>
      <c r="DP26" s="143"/>
      <c r="DQ26" s="385" t="s">
        <v>21</v>
      </c>
      <c r="DR26" s="383"/>
      <c r="DS26" s="384"/>
      <c r="DT26" s="380"/>
      <c r="DU26" s="380"/>
      <c r="DV26" s="380"/>
      <c r="DW26" s="382"/>
      <c r="DX26" s="380"/>
      <c r="DY26" s="383"/>
      <c r="DZ26" s="380"/>
      <c r="EA26" s="380"/>
      <c r="EB26" s="380"/>
      <c r="EC26" s="240" t="s">
        <v>21</v>
      </c>
      <c r="ED26" s="19"/>
      <c r="EE26" s="239"/>
      <c r="EF26" s="19"/>
      <c r="EG26" s="19"/>
      <c r="EH26" s="19"/>
      <c r="EI26" s="207"/>
      <c r="EJ26" s="19"/>
      <c r="EK26" s="209"/>
      <c r="EL26" s="19"/>
      <c r="EM26" s="19"/>
      <c r="EN26" s="19"/>
      <c r="EO26" s="246" t="s">
        <v>21</v>
      </c>
      <c r="EP26" s="82"/>
      <c r="EQ26" s="245"/>
      <c r="ER26" s="21"/>
      <c r="ES26" s="21"/>
      <c r="ET26" s="21"/>
      <c r="EU26" s="80"/>
      <c r="EV26" s="21"/>
      <c r="EW26" s="82"/>
      <c r="EX26" s="21"/>
      <c r="EY26" s="21"/>
      <c r="EZ26" s="21"/>
      <c r="FA26" s="254" t="s">
        <v>21</v>
      </c>
      <c r="FB26" s="23"/>
      <c r="FC26" s="253"/>
      <c r="FD26" s="23"/>
      <c r="FE26" s="23"/>
      <c r="FF26" s="23"/>
      <c r="FG26" s="251"/>
      <c r="FH26" s="23"/>
      <c r="FI26" s="252"/>
      <c r="FJ26" s="23"/>
      <c r="FK26" s="23"/>
      <c r="FL26" s="23"/>
      <c r="FM26" s="260" t="s">
        <v>21</v>
      </c>
      <c r="FN26" s="25"/>
      <c r="FO26" s="259"/>
      <c r="FP26" s="25"/>
      <c r="FQ26" s="25"/>
      <c r="FR26" s="25"/>
      <c r="FS26" s="85"/>
      <c r="FT26" s="25"/>
      <c r="FU26" s="87"/>
      <c r="FV26" s="25"/>
      <c r="FW26" s="25"/>
      <c r="FX26" s="25"/>
      <c r="FY26" s="405" t="s">
        <v>21</v>
      </c>
      <c r="FZ26" s="390"/>
      <c r="GA26" s="404"/>
      <c r="GB26" s="390"/>
      <c r="GC26" s="390"/>
      <c r="GD26" s="390"/>
      <c r="GE26" s="402"/>
      <c r="GF26" s="390"/>
      <c r="GG26" s="403"/>
      <c r="GH26" s="390"/>
      <c r="GI26" s="390"/>
      <c r="GJ26" s="390"/>
      <c r="GK26" s="267" t="s">
        <v>21</v>
      </c>
      <c r="GL26" s="27"/>
      <c r="GM26" s="266"/>
      <c r="GN26" s="27"/>
      <c r="GO26" s="27"/>
      <c r="GP26" s="27"/>
      <c r="GQ26" s="89"/>
      <c r="GR26" s="27"/>
      <c r="GS26" s="90"/>
      <c r="GT26" s="27"/>
      <c r="GU26" s="27"/>
      <c r="GV26" s="27"/>
      <c r="GW26" s="385" t="s">
        <v>21</v>
      </c>
      <c r="GX26" s="383"/>
      <c r="GY26" s="384"/>
      <c r="GZ26" s="380"/>
      <c r="HA26" s="380"/>
      <c r="HB26" s="380"/>
      <c r="HC26" s="382"/>
      <c r="HD26" s="380"/>
      <c r="HE26" s="383"/>
      <c r="HF26" s="380"/>
      <c r="HG26" s="380"/>
      <c r="HH26" s="380"/>
      <c r="HI26" s="273" t="s">
        <v>21</v>
      </c>
      <c r="HJ26" s="29"/>
      <c r="HK26" s="272"/>
      <c r="HL26" s="29"/>
      <c r="HM26" s="29"/>
      <c r="HN26" s="29"/>
      <c r="HO26" s="92"/>
      <c r="HP26" s="29"/>
      <c r="HQ26" s="94"/>
      <c r="HR26" s="29"/>
      <c r="HS26" s="29"/>
      <c r="HT26" s="29"/>
      <c r="HU26" s="279" t="s">
        <v>21</v>
      </c>
      <c r="HV26" s="99"/>
      <c r="HW26" s="278"/>
      <c r="HX26" s="31"/>
      <c r="HY26" s="31"/>
      <c r="HZ26" s="31"/>
      <c r="IA26" s="97"/>
      <c r="IB26" s="31"/>
      <c r="IC26" s="99"/>
      <c r="ID26" s="31"/>
      <c r="IE26" s="31"/>
      <c r="IF26" s="31"/>
    </row>
    <row r="27" spans="1:243">
      <c r="A27" s="66">
        <v>3</v>
      </c>
      <c r="B27" s="68" t="s">
        <v>218</v>
      </c>
      <c r="C27" s="214">
        <f ca="1">IFERROR(INDIRECT("fixtures!" &amp; Dashboard!J1 &amp;193) - Dashboard!K1/24,"TBC")</f>
        <v>46025.625</v>
      </c>
      <c r="D27" s="6"/>
      <c r="E27" s="6" t="s">
        <v>3</v>
      </c>
      <c r="F27" s="6" t="s">
        <v>92</v>
      </c>
      <c r="G27" s="66" t="str">
        <f>IF(ISBLANK(fixtures!$L193),"",fixtures!$L193)</f>
        <v/>
      </c>
      <c r="H27" s="6" t="str">
        <f>IF(ISBLANK(fixtures!$L193),"",":")</f>
        <v/>
      </c>
      <c r="I27" s="68" t="str">
        <f>IF(ISBLANK(fixtures!$K193),"",fixtures!$K193)</f>
        <v/>
      </c>
      <c r="J27" s="6" t="str">
        <f>IF(ISBLANK(fixtures!$L193),"",IF(G27&gt;I27,"W",IF(G27=I27,"D","L")))</f>
        <v/>
      </c>
      <c r="K27" s="6"/>
      <c r="L27" s="6"/>
      <c r="M27" s="382">
        <v>3</v>
      </c>
      <c r="N27" s="380" t="s">
        <v>218</v>
      </c>
      <c r="O27" s="384">
        <f ca="1">IFERROR(INDIRECT("fixtures!" &amp; Dashboard!J1 &amp;192) - Dashboard!K1/24,"TBC")</f>
        <v>46025.625</v>
      </c>
      <c r="P27" s="380"/>
      <c r="Q27" s="380" t="s">
        <v>188</v>
      </c>
      <c r="R27" s="380" t="s">
        <v>93</v>
      </c>
      <c r="S27" s="382" t="str">
        <f>IF(ISBLANK(fixtures!$K192),"",fixtures!$K192)</f>
        <v/>
      </c>
      <c r="T27" s="380" t="str">
        <f>IF(ISBLANK(fixtures!$L192),"",":")</f>
        <v/>
      </c>
      <c r="U27" s="383" t="str">
        <f>IF(ISBLANK(fixtures!$L192),"",fixtures!$L192)</f>
        <v/>
      </c>
      <c r="V27" s="380" t="str">
        <f>IF(ISBLANK(fixtures!$L192),"",IF(S27&gt;U27,"W",IF(S27=U27,"D","L")))</f>
        <v/>
      </c>
      <c r="W27" s="380"/>
      <c r="X27" s="380"/>
      <c r="Y27" s="418">
        <v>3</v>
      </c>
      <c r="Z27" s="412" t="s">
        <v>218</v>
      </c>
      <c r="AA27" s="420">
        <f ca="1">IFERROR(INDIRECT("fixtures!" &amp; Dashboard!J1 &amp;193) - Dashboard!K1/24,"TBC")</f>
        <v>46025.625</v>
      </c>
      <c r="AB27" s="412"/>
      <c r="AC27" s="412" t="s">
        <v>1</v>
      </c>
      <c r="AD27" s="412" t="s">
        <v>93</v>
      </c>
      <c r="AE27" s="418" t="str">
        <f>IF(ISBLANK(fixtures!$K193),"",fixtures!$K193)</f>
        <v/>
      </c>
      <c r="AF27" s="412" t="str">
        <f>IF(ISBLANK(fixtures!$L193),"",":")</f>
        <v/>
      </c>
      <c r="AG27" s="419" t="str">
        <f>IF(ISBLANK(fixtures!$L193),"",fixtures!$L193)</f>
        <v/>
      </c>
      <c r="AH27" s="412" t="str">
        <f>IF(ISBLANK(fixtures!$L193),"",IF(AE27&gt;AG27,"W",IF(AE27=AG27,"D","L")))</f>
        <v/>
      </c>
      <c r="AI27" s="412"/>
      <c r="AJ27" s="412"/>
      <c r="AK27" s="427">
        <v>3</v>
      </c>
      <c r="AL27" s="428" t="s">
        <v>218</v>
      </c>
      <c r="AM27" s="429">
        <f ca="1">IFERROR(INDIRECT("fixtures!" &amp; Dashboard!J1 &amp;195) - Dashboard!K1/24,"TBC")</f>
        <v>46025.625</v>
      </c>
      <c r="AN27" s="413"/>
      <c r="AO27" s="413" t="s">
        <v>8</v>
      </c>
      <c r="AP27" s="413" t="s">
        <v>92</v>
      </c>
      <c r="AQ27" s="427" t="str">
        <f>IF(ISBLANK(fixtures!$L195),"",fixtures!$L195)</f>
        <v/>
      </c>
      <c r="AR27" s="413" t="str">
        <f>IF(ISBLANK(fixtures!$L195),"",":")</f>
        <v/>
      </c>
      <c r="AS27" s="428" t="str">
        <f>IF(ISBLANK(fixtures!$K195),"",fixtures!$K195)</f>
        <v/>
      </c>
      <c r="AT27" s="413" t="str">
        <f>IF(ISBLANK(fixtures!$L195),"",IF(AQ27&gt;AS27,"W",IF(AQ27=AS27,"D","L")))</f>
        <v/>
      </c>
      <c r="AU27" s="413"/>
      <c r="AV27" s="413"/>
      <c r="AW27" s="71">
        <v>3</v>
      </c>
      <c r="AX27" s="73" t="s">
        <v>218</v>
      </c>
      <c r="AY27" s="219">
        <f ca="1">IFERROR(INDIRECT("fixtures!" &amp; Dashboard!J1 &amp;194) - Dashboard!K1/24,"TBC")</f>
        <v>46025.625</v>
      </c>
      <c r="AZ27" s="9"/>
      <c r="BA27" s="9" t="s">
        <v>5</v>
      </c>
      <c r="BB27" s="9" t="s">
        <v>93</v>
      </c>
      <c r="BC27" s="71" t="str">
        <f>IF(ISBLANK(fixtures!$K194),"",fixtures!$K194)</f>
        <v/>
      </c>
      <c r="BD27" s="9" t="str">
        <f>IF(ISBLANK(fixtures!$L194),"",":")</f>
        <v/>
      </c>
      <c r="BE27" s="73" t="str">
        <f>IF(ISBLANK(fixtures!$L194),"",fixtures!$L194)</f>
        <v/>
      </c>
      <c r="BF27" s="9" t="str">
        <f>IF(ISBLANK(fixtures!$L194),"",IF(BC27&gt;BE27,"W",IF(BC27=BE27,"D","L")))</f>
        <v/>
      </c>
      <c r="BG27" s="9"/>
      <c r="BH27" s="9"/>
      <c r="BI27" s="436">
        <v>3</v>
      </c>
      <c r="BJ27" s="414" t="s">
        <v>218</v>
      </c>
      <c r="BK27" s="438">
        <f ca="1">IFERROR(INDIRECT("fixtures!" &amp; Dashboard!J1 &amp;194) - Dashboard!K1/24,"TBC")</f>
        <v>46025.625</v>
      </c>
      <c r="BL27" s="414"/>
      <c r="BM27" s="414" t="s">
        <v>4</v>
      </c>
      <c r="BN27" s="414" t="s">
        <v>92</v>
      </c>
      <c r="BO27" s="436" t="str">
        <f>IF(ISBLANK(fixtures!$L194),"",fixtures!$L194)</f>
        <v/>
      </c>
      <c r="BP27" s="414" t="str">
        <f>IF(ISBLANK(fixtures!$L194),"",":")</f>
        <v/>
      </c>
      <c r="BQ27" s="437" t="str">
        <f>IF(ISBLANK(fixtures!$K194),"",fixtures!$K194)</f>
        <v/>
      </c>
      <c r="BR27" s="414" t="str">
        <f>IF(ISBLANK(fixtures!$L194),"",IF(BO27&gt;BQ27,"W",IF(BO27=BQ27,"D","L")))</f>
        <v/>
      </c>
      <c r="BS27" s="414"/>
      <c r="BT27" s="414"/>
      <c r="BU27" s="146">
        <v>3</v>
      </c>
      <c r="BV27" s="13" t="s">
        <v>218</v>
      </c>
      <c r="BW27" s="225">
        <f ca="1">IFERROR(INDIRECT("fixtures!" &amp; Dashboard!J1 &amp;198) - Dashboard!K1/24,"TBC")</f>
        <v>46025.625</v>
      </c>
      <c r="BX27" s="13"/>
      <c r="BY27" s="13" t="s">
        <v>10</v>
      </c>
      <c r="BZ27" s="13" t="s">
        <v>92</v>
      </c>
      <c r="CA27" s="146" t="str">
        <f>IF(ISBLANK(fixtures!$L198),"",fixtures!$L198)</f>
        <v/>
      </c>
      <c r="CB27" s="13" t="str">
        <f>IF(ISBLANK(fixtures!$L198),"",":")</f>
        <v/>
      </c>
      <c r="CC27" s="148" t="str">
        <f>IF(ISBLANK(fixtures!$K198),"",fixtures!$K198)</f>
        <v/>
      </c>
      <c r="CD27" s="13" t="str">
        <f>IF(ISBLANK(fixtures!$L198),"",IF(CA27&gt;CC27,"W",IF(CA27=CC27,"D","L")))</f>
        <v/>
      </c>
      <c r="CE27" s="13"/>
      <c r="CF27" s="13"/>
      <c r="CG27" s="394">
        <v>3</v>
      </c>
      <c r="CH27" s="395" t="s">
        <v>218</v>
      </c>
      <c r="CI27" s="396">
        <f ca="1">IFERROR(INDIRECT("fixtures!" &amp; Dashboard!J1 &amp;199) - Dashboard!K1/24,"TBC")</f>
        <v>46025.625</v>
      </c>
      <c r="CJ27" s="14"/>
      <c r="CK27" s="14" t="s">
        <v>12</v>
      </c>
      <c r="CL27" s="14" t="s">
        <v>92</v>
      </c>
      <c r="CM27" s="394" t="str">
        <f>IF(ISBLANK(fixtures!$L199),"",fixtures!$L199)</f>
        <v/>
      </c>
      <c r="CN27" s="14" t="str">
        <f>IF(ISBLANK(fixtures!$L199),"",":")</f>
        <v/>
      </c>
      <c r="CO27" s="395" t="str">
        <f>IF(ISBLANK(fixtures!$K199),"",fixtures!$K199)</f>
        <v/>
      </c>
      <c r="CP27" s="14" t="str">
        <f>IF(ISBLANK(fixtures!$L199),"",IF(CM27&gt;CO27,"W",IF(CM27=CO27,"D","L")))</f>
        <v/>
      </c>
      <c r="CQ27" s="14"/>
      <c r="CR27" s="14"/>
      <c r="CS27" s="231">
        <v>3</v>
      </c>
      <c r="CT27" s="232" t="s">
        <v>218</v>
      </c>
      <c r="CU27" s="233">
        <f ca="1">IFERROR(INDIRECT("fixtures!" &amp; Dashboard!J1 &amp;195) - Dashboard!K1/24,"TBC")</f>
        <v>46025.625</v>
      </c>
      <c r="CV27" s="17"/>
      <c r="CW27" s="17" t="s">
        <v>107</v>
      </c>
      <c r="CX27" s="17" t="s">
        <v>93</v>
      </c>
      <c r="CY27" s="231" t="str">
        <f>IF(ISBLANK(fixtures!$K195),"",fixtures!$K195)</f>
        <v/>
      </c>
      <c r="CZ27" s="17" t="str">
        <f>IF(ISBLANK(fixtures!$L195),"",":")</f>
        <v/>
      </c>
      <c r="DA27" s="232" t="str">
        <f>IF(ISBLANK(fixtures!$L195),"",fixtures!$L195)</f>
        <v/>
      </c>
      <c r="DB27" s="17" t="str">
        <f>IF(ISBLANK(fixtures!$L195),"",IF(CY27&gt;DA27,"W",IF(CY27=DA27,"D","L")))</f>
        <v/>
      </c>
      <c r="DC27" s="17"/>
      <c r="DD27" s="17"/>
      <c r="DE27" s="444">
        <v>3</v>
      </c>
      <c r="DF27" s="143" t="s">
        <v>218</v>
      </c>
      <c r="DG27" s="446">
        <f ca="1">IFERROR(INDIRECT("fixtures!" &amp; Dashboard!J1 &amp;196) - Dashboard!K1/24,"TBC")</f>
        <v>46025.625</v>
      </c>
      <c r="DH27" s="143"/>
      <c r="DI27" s="143" t="s">
        <v>9</v>
      </c>
      <c r="DJ27" s="143" t="s">
        <v>93</v>
      </c>
      <c r="DK27" s="444" t="str">
        <f>IF(ISBLANK(fixtures!$K196),"",fixtures!$K196)</f>
        <v/>
      </c>
      <c r="DL27" s="143" t="str">
        <f>IF(ISBLANK(fixtures!$L196),"",":")</f>
        <v/>
      </c>
      <c r="DM27" s="445" t="str">
        <f>IF(ISBLANK(fixtures!$L196),"",fixtures!$L196)</f>
        <v/>
      </c>
      <c r="DN27" s="143" t="str">
        <f>IF(ISBLANK(fixtures!$L196),"",IF(DK27&gt;DM27,"W",IF(DK27=DM27,"D","L")))</f>
        <v/>
      </c>
      <c r="DO27" s="143"/>
      <c r="DP27" s="143"/>
      <c r="DQ27" s="382">
        <v>3</v>
      </c>
      <c r="DR27" s="380" t="s">
        <v>218</v>
      </c>
      <c r="DS27" s="384">
        <f ca="1">IFERROR(INDIRECT("fixtures!" &amp; Dashboard!J1 &amp;197) - Dashboard!K1/24,"TBC")</f>
        <v>46025.625</v>
      </c>
      <c r="DT27" s="380"/>
      <c r="DU27" s="380" t="s">
        <v>11</v>
      </c>
      <c r="DV27" s="380" t="s">
        <v>93</v>
      </c>
      <c r="DW27" s="382" t="str">
        <f>IF(ISBLANK(fixtures!$K197),"",fixtures!$K197)</f>
        <v/>
      </c>
      <c r="DX27" s="380" t="str">
        <f>IF(ISBLANK(fixtures!$L197),"",":")</f>
        <v/>
      </c>
      <c r="DY27" s="383" t="str">
        <f>IF(ISBLANK(fixtures!$L197),"",fixtures!$L197)</f>
        <v/>
      </c>
      <c r="DZ27" s="380" t="str">
        <f>IF(ISBLANK(fixtures!$L197),"",IF(DW27&gt;DY27,"W",IF(DW27=DY27,"D","L")))</f>
        <v/>
      </c>
      <c r="EA27" s="380"/>
      <c r="EB27" s="380"/>
      <c r="EC27" s="207">
        <v>3</v>
      </c>
      <c r="ED27" s="19" t="s">
        <v>218</v>
      </c>
      <c r="EE27" s="239">
        <f ca="1">IFERROR(INDIRECT("fixtures!" &amp; Dashboard!J1 &amp;196) - Dashboard!K1/24,"TBC")</f>
        <v>46025.625</v>
      </c>
      <c r="EF27" s="19"/>
      <c r="EG27" s="19" t="s">
        <v>108</v>
      </c>
      <c r="EH27" s="19" t="s">
        <v>92</v>
      </c>
      <c r="EI27" s="207" t="str">
        <f>IF(ISBLANK(fixtures!$L196),"",fixtures!$L196)</f>
        <v/>
      </c>
      <c r="EJ27" s="19" t="str">
        <f>IF(ISBLANK(fixtures!$L196),"",":")</f>
        <v/>
      </c>
      <c r="EK27" s="209" t="str">
        <f>IF(ISBLANK(fixtures!$K196),"",fixtures!$K196)</f>
        <v/>
      </c>
      <c r="EL27" s="19" t="str">
        <f>IF(ISBLANK(fixtures!$L196),"",IF(EI27&gt;EK27,"W",IF(EI27=EK27,"D","L")))</f>
        <v/>
      </c>
      <c r="EM27" s="19"/>
      <c r="EN27" s="19"/>
      <c r="EO27" s="80">
        <v>3</v>
      </c>
      <c r="EP27" s="21" t="s">
        <v>218</v>
      </c>
      <c r="EQ27" s="245">
        <f ca="1">IFERROR(INDIRECT("fixtures!" &amp; Dashboard!J1 &amp;198) - Dashboard!K1/24,"TBC")</f>
        <v>46025.625</v>
      </c>
      <c r="ER27" s="21"/>
      <c r="ES27" s="21" t="s">
        <v>6</v>
      </c>
      <c r="ET27" s="21" t="s">
        <v>93</v>
      </c>
      <c r="EU27" s="80" t="str">
        <f>IF(ISBLANK(fixtures!$K198),"",fixtures!$K198)</f>
        <v/>
      </c>
      <c r="EV27" s="21" t="str">
        <f>IF(ISBLANK(fixtures!$L198),"",":")</f>
        <v/>
      </c>
      <c r="EW27" s="82" t="str">
        <f>IF(ISBLANK(fixtures!$L198),"",fixtures!$L198)</f>
        <v/>
      </c>
      <c r="EX27" s="21" t="str">
        <f>IF(ISBLANK(fixtures!$L198),"",IF(EU27&gt;EW27,"W",IF(EU27=EW27,"D","L")))</f>
        <v/>
      </c>
      <c r="EY27" s="21"/>
      <c r="EZ27" s="21"/>
      <c r="FA27" s="251">
        <v>3</v>
      </c>
      <c r="FB27" s="252" t="s">
        <v>218</v>
      </c>
      <c r="FC27" s="253">
        <f ca="1">IFERROR(INDIRECT("fixtures!" &amp; Dashboard!J1 &amp;197) - Dashboard!K1/24,"TBC")</f>
        <v>46025.625</v>
      </c>
      <c r="FD27" s="23"/>
      <c r="FE27" s="23" t="s">
        <v>444</v>
      </c>
      <c r="FF27" s="23" t="s">
        <v>92</v>
      </c>
      <c r="FG27" s="251" t="str">
        <f>IF(ISBLANK(fixtures!$L197),"",fixtures!$L197)</f>
        <v/>
      </c>
      <c r="FH27" s="23" t="str">
        <f>IF(ISBLANK(fixtures!$L197),"",":")</f>
        <v/>
      </c>
      <c r="FI27" s="252" t="str">
        <f>IF(ISBLANK(fixtures!$K197),"",fixtures!$K197)</f>
        <v/>
      </c>
      <c r="FJ27" s="23" t="str">
        <f>IF(ISBLANK(fixtures!$L197),"",IF(FG27&gt;FI27,"W",IF(FG27=FI27,"D","L")))</f>
        <v/>
      </c>
      <c r="FK27" s="23"/>
      <c r="FL27" s="23"/>
      <c r="FM27" s="85">
        <v>3</v>
      </c>
      <c r="FN27" s="25" t="s">
        <v>218</v>
      </c>
      <c r="FO27" s="259">
        <f ca="1">IFERROR(INDIRECT("fixtures!" &amp; Dashboard!J1 &amp;199) - Dashboard!K1/24,"TBC")</f>
        <v>46025.625</v>
      </c>
      <c r="FP27" s="25"/>
      <c r="FQ27" s="25" t="s">
        <v>7</v>
      </c>
      <c r="FR27" s="25" t="s">
        <v>93</v>
      </c>
      <c r="FS27" s="85" t="str">
        <f>IF(ISBLANK(fixtures!$K199),"",fixtures!$K199)</f>
        <v/>
      </c>
      <c r="FT27" s="25" t="str">
        <f>IF(ISBLANK(fixtures!$L199),"",":")</f>
        <v/>
      </c>
      <c r="FU27" s="87" t="str">
        <f>IF(ISBLANK(fixtures!$L199),"",fixtures!$L199)</f>
        <v/>
      </c>
      <c r="FV27" s="25" t="str">
        <f>IF(ISBLANK(fixtures!$L199),"",IF(FS27&gt;FU27,"W",IF(FS27=FU27,"D","L")))</f>
        <v/>
      </c>
      <c r="FW27" s="25"/>
      <c r="FX27" s="25"/>
      <c r="FY27" s="402">
        <v>3</v>
      </c>
      <c r="FZ27" s="390" t="s">
        <v>218</v>
      </c>
      <c r="GA27" s="404">
        <f ca="1">IFERROR(INDIRECT("fixtures!" &amp; Dashboard!J1 &amp;192) - Dashboard!K1/24,"TBC")</f>
        <v>46025.625</v>
      </c>
      <c r="GB27" s="390"/>
      <c r="GC27" s="390" t="s">
        <v>2</v>
      </c>
      <c r="GD27" s="390" t="s">
        <v>92</v>
      </c>
      <c r="GE27" s="402" t="str">
        <f>IF(ISBLANK(fixtures!$L192),"",fixtures!$L192)</f>
        <v/>
      </c>
      <c r="GF27" s="390" t="str">
        <f>IF(ISBLANK(fixtures!$L192),"",":")</f>
        <v/>
      </c>
      <c r="GG27" s="403" t="str">
        <f>IF(ISBLANK(fixtures!$K192),"",fixtures!$K192)</f>
        <v/>
      </c>
      <c r="GH27" s="390" t="str">
        <f>IF(ISBLANK(fixtures!$L192),"",IF(GE27&gt;GG27,"W",IF(GE27=GG27,"D","L")))</f>
        <v/>
      </c>
      <c r="GI27" s="390"/>
      <c r="GJ27" s="390"/>
      <c r="GK27" s="89">
        <v>3</v>
      </c>
      <c r="GL27" s="27" t="s">
        <v>218</v>
      </c>
      <c r="GM27" s="266">
        <f ca="1">IFERROR(INDIRECT("fixtures!" &amp; Dashboard!J1 &amp;200) - Dashboard!K1/24,"TBC")</f>
        <v>46025.625</v>
      </c>
      <c r="GN27" s="27"/>
      <c r="GO27" s="27" t="s">
        <v>443</v>
      </c>
      <c r="GP27" s="27" t="s">
        <v>93</v>
      </c>
      <c r="GQ27" s="89" t="str">
        <f>IF(ISBLANK(fixtures!$K200),"",fixtures!$K200)</f>
        <v/>
      </c>
      <c r="GR27" s="27" t="str">
        <f>IF(ISBLANK(fixtures!$L200),"",":")</f>
        <v/>
      </c>
      <c r="GS27" s="90" t="str">
        <f>IF(ISBLANK(fixtures!$L200),"",fixtures!$L200)</f>
        <v/>
      </c>
      <c r="GT27" s="27" t="str">
        <f>IF(ISBLANK(fixtures!$L200),"",IF(GQ27&gt;GS27,"W",IF(GQ27=GS27,"D","L")))</f>
        <v/>
      </c>
      <c r="GU27" s="27"/>
      <c r="GV27" s="27"/>
      <c r="GW27" s="382">
        <v>3</v>
      </c>
      <c r="GX27" s="383" t="s">
        <v>218</v>
      </c>
      <c r="GY27" s="384">
        <f ca="1">IFERROR(INDIRECT("fixtures!" &amp; Dashboard!J1 &amp;200) - Dashboard!K1/24,"TBC")</f>
        <v>46025.625</v>
      </c>
      <c r="GZ27" s="380"/>
      <c r="HA27" s="380" t="s">
        <v>13</v>
      </c>
      <c r="HB27" s="380" t="s">
        <v>92</v>
      </c>
      <c r="HC27" s="382" t="str">
        <f>IF(ISBLANK(fixtures!$L200),"",fixtures!$L200)</f>
        <v/>
      </c>
      <c r="HD27" s="380" t="str">
        <f>IF(ISBLANK(fixtures!$L200),"",":")</f>
        <v/>
      </c>
      <c r="HE27" s="383" t="str">
        <f>IF(ISBLANK(fixtures!$K200),"",fixtures!$K200)</f>
        <v/>
      </c>
      <c r="HF27" s="380" t="str">
        <f>IF(ISBLANK(fixtures!$L200),"",IF(HC27&gt;HE27,"W",IF(HC27=HE27,"D","L")))</f>
        <v/>
      </c>
      <c r="HG27" s="380"/>
      <c r="HH27" s="380"/>
      <c r="HI27" s="92">
        <v>3</v>
      </c>
      <c r="HJ27" s="29" t="s">
        <v>218</v>
      </c>
      <c r="HK27" s="272">
        <f ca="1">IFERROR(INDIRECT("fixtures!" &amp; Dashboard!J1 &amp;201) - Dashboard!K1/24,"TBC")</f>
        <v>46025.625</v>
      </c>
      <c r="HL27" s="29"/>
      <c r="HM27" s="29" t="s">
        <v>15</v>
      </c>
      <c r="HN27" s="29" t="s">
        <v>92</v>
      </c>
      <c r="HO27" s="92" t="str">
        <f>IF(ISBLANK(fixtures!$L201),"",fixtures!$L201)</f>
        <v/>
      </c>
      <c r="HP27" s="29" t="str">
        <f>IF(ISBLANK(fixtures!$L201),"",":")</f>
        <v/>
      </c>
      <c r="HQ27" s="94" t="str">
        <f>IF(ISBLANK(fixtures!$K201),"",fixtures!$K201)</f>
        <v/>
      </c>
      <c r="HR27" s="29" t="str">
        <f>IF(ISBLANK(fixtures!$L201),"",IF(HO27&gt;HQ27,"W",IF(HO27=HQ27,"D","L")))</f>
        <v/>
      </c>
      <c r="HS27" s="29"/>
      <c r="HT27" s="29"/>
      <c r="HU27" s="97">
        <v>3</v>
      </c>
      <c r="HV27" s="99" t="s">
        <v>218</v>
      </c>
      <c r="HW27" s="278">
        <f ca="1">IFERROR(INDIRECT("fixtures!" &amp; Dashboard!J1 &amp;201) - Dashboard!K1/24,"TBC")</f>
        <v>46025.625</v>
      </c>
      <c r="HX27" s="31"/>
      <c r="HY27" s="31" t="s">
        <v>14</v>
      </c>
      <c r="HZ27" s="31" t="s">
        <v>93</v>
      </c>
      <c r="IA27" s="97" t="str">
        <f>IF(ISBLANK(fixtures!$K201),"",fixtures!$K201)</f>
        <v/>
      </c>
      <c r="IB27" s="31" t="str">
        <f>IF(ISBLANK(fixtures!$L201),"",":")</f>
        <v/>
      </c>
      <c r="IC27" s="99" t="str">
        <f>IF(ISBLANK(fixtures!$L201),"",fixtures!$L201)</f>
        <v/>
      </c>
      <c r="ID27" s="31" t="str">
        <f>IF(ISBLANK(fixtures!$L201),"",IF(IA27&gt;IC27,"W",IF(IA27=IC27,"D","L")))</f>
        <v/>
      </c>
      <c r="IE27" s="31"/>
      <c r="IF27" s="31"/>
    </row>
    <row r="28" spans="1:243">
      <c r="A28" s="66">
        <v>7</v>
      </c>
      <c r="B28" s="6" t="s">
        <v>439</v>
      </c>
      <c r="C28" s="214">
        <f ca="1">IFERROR(INDIRECT("fixtures!" &amp; Dashboard!J1 &amp;202) - Dashboard!K1/24,"TBC")</f>
        <v>46029.833333333336</v>
      </c>
      <c r="D28" s="6"/>
      <c r="E28" s="6" t="s">
        <v>9</v>
      </c>
      <c r="F28" s="6" t="s">
        <v>93</v>
      </c>
      <c r="G28" s="66" t="str">
        <f>IF(ISBLANK(fixtures!$K202),"",fixtures!$K202)</f>
        <v/>
      </c>
      <c r="H28" s="6" t="str">
        <f>IF(ISBLANK(fixtures!$L202),"",":")</f>
        <v/>
      </c>
      <c r="I28" s="68" t="str">
        <f>IF(ISBLANK(fixtures!$L202),"",fixtures!$L202)</f>
        <v/>
      </c>
      <c r="J28" s="6" t="str">
        <f>IF(ISBLANK(fixtures!$L202),"",IF(G28&gt;I28,"W",IF(G28=I28,"D","L")))</f>
        <v/>
      </c>
      <c r="K28" s="6"/>
      <c r="L28" s="6"/>
      <c r="M28" s="382">
        <v>7</v>
      </c>
      <c r="N28" s="380" t="s">
        <v>439</v>
      </c>
      <c r="O28" s="384">
        <f ca="1">IFERROR(INDIRECT("fixtures!" &amp; Dashboard!J1 &amp;206) - Dashboard!K1/24,"TBC")</f>
        <v>46029.833333333336</v>
      </c>
      <c r="P28" s="380"/>
      <c r="Q28" s="380" t="s">
        <v>7</v>
      </c>
      <c r="R28" s="380" t="s">
        <v>92</v>
      </c>
      <c r="S28" s="382" t="str">
        <f>IF(ISBLANK(fixtures!$L206),"",fixtures!$L206)</f>
        <v/>
      </c>
      <c r="T28" s="380" t="str">
        <f>IF(ISBLANK(fixtures!$L206),"",":")</f>
        <v/>
      </c>
      <c r="U28" s="383" t="str">
        <f>IF(ISBLANK(fixtures!$K206),"",fixtures!$K206)</f>
        <v/>
      </c>
      <c r="V28" s="380" t="str">
        <f>IF(ISBLANK(fixtures!$L206),"",IF(S28&gt;U28,"W",IF(S28=U28,"D","L")))</f>
        <v/>
      </c>
      <c r="W28" s="380"/>
      <c r="X28" s="380"/>
      <c r="Y28" s="418">
        <v>7</v>
      </c>
      <c r="Z28" s="412" t="s">
        <v>439</v>
      </c>
      <c r="AA28" s="420">
        <f ca="1">IFERROR(INDIRECT("fixtures!" &amp; Dashboard!J1 &amp;203) - Dashboard!K1/24,"TBC")</f>
        <v>46029.833333333336</v>
      </c>
      <c r="AB28" s="412"/>
      <c r="AC28" s="412" t="s">
        <v>13</v>
      </c>
      <c r="AD28" s="412" t="s">
        <v>93</v>
      </c>
      <c r="AE28" s="418" t="str">
        <f>IF(ISBLANK(fixtures!$K203),"",fixtures!$K203)</f>
        <v/>
      </c>
      <c r="AF28" s="412" t="str">
        <f>IF(ISBLANK(fixtures!$L203),"",":")</f>
        <v/>
      </c>
      <c r="AG28" s="419" t="str">
        <f>IF(ISBLANK(fixtures!$L203),"",fixtures!$L203)</f>
        <v/>
      </c>
      <c r="AH28" s="412" t="str">
        <f>IF(ISBLANK(fixtures!$L203),"",IF(AE28&gt;AG28,"W",IF(AE28=AG28,"D","L")))</f>
        <v/>
      </c>
      <c r="AI28" s="412"/>
      <c r="AJ28" s="412"/>
      <c r="AK28" s="427">
        <v>7</v>
      </c>
      <c r="AL28" s="413" t="s">
        <v>439</v>
      </c>
      <c r="AM28" s="429">
        <f ca="1">IFERROR(INDIRECT("fixtures!" &amp; Dashboard!J1 &amp;204) - Dashboard!K1/24,"TBC")</f>
        <v>46029.833333333336</v>
      </c>
      <c r="AN28" s="413"/>
      <c r="AO28" s="413" t="s">
        <v>443</v>
      </c>
      <c r="AP28" s="413" t="s">
        <v>93</v>
      </c>
      <c r="AQ28" s="427" t="str">
        <f>IF(ISBLANK(fixtures!$K204),"",fixtures!$K204)</f>
        <v/>
      </c>
      <c r="AR28" s="413" t="str">
        <f>IF(ISBLANK(fixtures!$L204),"",":")</f>
        <v/>
      </c>
      <c r="AS28" s="428" t="str">
        <f>IF(ISBLANK(fixtures!$L204),"",fixtures!$L204)</f>
        <v/>
      </c>
      <c r="AT28" s="413" t="str">
        <f>IF(ISBLANK(fixtures!$L204),"",IF(AQ28&gt;AS28,"W",IF(AQ28=AS28,"D","L")))</f>
        <v/>
      </c>
      <c r="AU28" s="413"/>
      <c r="AV28" s="413"/>
      <c r="AW28" s="71">
        <v>7</v>
      </c>
      <c r="AX28" s="73" t="s">
        <v>439</v>
      </c>
      <c r="AY28" s="219">
        <f ca="1">IFERROR(INDIRECT("fixtures!" &amp; Dashboard!J1 &amp;209) - Dashboard!K1/24,"TBC")</f>
        <v>46029.833333333336</v>
      </c>
      <c r="AZ28" s="9"/>
      <c r="BA28" s="9" t="s">
        <v>10</v>
      </c>
      <c r="BB28" s="9" t="s">
        <v>92</v>
      </c>
      <c r="BC28" s="71" t="str">
        <f>IF(ISBLANK(fixtures!$L209),"",fixtures!$L209)</f>
        <v/>
      </c>
      <c r="BD28" s="9" t="str">
        <f>IF(ISBLANK(fixtures!$L209),"",":")</f>
        <v/>
      </c>
      <c r="BE28" s="73" t="str">
        <f>IF(ISBLANK(fixtures!$K209),"",fixtures!$K209)</f>
        <v/>
      </c>
      <c r="BF28" s="9" t="str">
        <f>IF(ISBLANK(fixtures!$L209),"",IF(BC28&gt;BE28,"W",IF(BC28=BE28,"D","L")))</f>
        <v/>
      </c>
      <c r="BG28" s="9"/>
      <c r="BH28" s="9"/>
      <c r="BI28" s="436">
        <v>7</v>
      </c>
      <c r="BJ28" s="414" t="s">
        <v>439</v>
      </c>
      <c r="BK28" s="438">
        <f ca="1">IFERROR(INDIRECT("fixtures!" &amp; Dashboard!J1 &amp;205) - Dashboard!K1/24,"TBC")</f>
        <v>46029.833333333336</v>
      </c>
      <c r="BL28" s="414"/>
      <c r="BM28" s="414" t="s">
        <v>11</v>
      </c>
      <c r="BN28" s="414" t="s">
        <v>93</v>
      </c>
      <c r="BO28" s="436" t="str">
        <f>IF(ISBLANK(fixtures!$K205),"",fixtures!$K205)</f>
        <v/>
      </c>
      <c r="BP28" s="414" t="str">
        <f>IF(ISBLANK(fixtures!$L205),"",":")</f>
        <v/>
      </c>
      <c r="BQ28" s="437" t="str">
        <f>IF(ISBLANK(fixtures!$L205),"",fixtures!$L205)</f>
        <v/>
      </c>
      <c r="BR28" s="414" t="str">
        <f>IF(ISBLANK(fixtures!$L205),"",IF(BO28&gt;BQ28,"W",IF(BO28=BQ28,"D","L")))</f>
        <v/>
      </c>
      <c r="BS28" s="414"/>
      <c r="BT28" s="414"/>
      <c r="BU28" s="146">
        <v>7</v>
      </c>
      <c r="BV28" s="13" t="s">
        <v>439</v>
      </c>
      <c r="BW28" s="225">
        <f ca="1">IFERROR(INDIRECT("fixtures!" &amp; Dashboard!J1 &amp;208) - Dashboard!K1/24,"TBC")</f>
        <v>46029.833333333336</v>
      </c>
      <c r="BX28" s="13"/>
      <c r="BY28" s="13" t="s">
        <v>108</v>
      </c>
      <c r="BZ28" s="13" t="s">
        <v>92</v>
      </c>
      <c r="CA28" s="146" t="str">
        <f>IF(ISBLANK(fixtures!$L208),"",fixtures!$L208)</f>
        <v/>
      </c>
      <c r="CB28" s="13" t="str">
        <f>IF(ISBLANK(fixtures!$L208),"",":")</f>
        <v/>
      </c>
      <c r="CC28" s="148" t="str">
        <f>IF(ISBLANK(fixtures!$K208),"",fixtures!$K208)</f>
        <v/>
      </c>
      <c r="CD28" s="13" t="str">
        <f>IF(ISBLANK(fixtures!$L208),"",IF(CA28&gt;CC28,"W",IF(CA28=CC28,"D","L")))</f>
        <v/>
      </c>
      <c r="CE28" s="13"/>
      <c r="CF28" s="13"/>
      <c r="CG28" s="394">
        <v>7</v>
      </c>
      <c r="CH28" s="395" t="s">
        <v>439</v>
      </c>
      <c r="CI28" s="396">
        <f ca="1">IFERROR(INDIRECT("fixtures!" &amp; Dashboard!J1 &amp;206) - Dashboard!K1/24,"TBC")</f>
        <v>46029.833333333336</v>
      </c>
      <c r="CJ28" s="14"/>
      <c r="CK28" s="14" t="s">
        <v>2</v>
      </c>
      <c r="CL28" s="14" t="s">
        <v>93</v>
      </c>
      <c r="CM28" s="394" t="str">
        <f>IF(ISBLANK(fixtures!$K206),"",fixtures!$K206)</f>
        <v/>
      </c>
      <c r="CN28" s="14" t="str">
        <f>IF(ISBLANK(fixtures!$L206),"",":")</f>
        <v/>
      </c>
      <c r="CO28" s="395" t="str">
        <f>IF(ISBLANK(fixtures!$L206),"",fixtures!$L206)</f>
        <v/>
      </c>
      <c r="CP28" s="14" t="str">
        <f>IF(ISBLANK(fixtures!$L206),"",IF(CM28&gt;CO28,"W",IF(CM28=CO28,"D","L")))</f>
        <v/>
      </c>
      <c r="CQ28" s="14"/>
      <c r="CR28" s="14"/>
      <c r="CS28" s="231">
        <v>7</v>
      </c>
      <c r="CT28" s="17" t="s">
        <v>439</v>
      </c>
      <c r="CU28" s="233">
        <f ca="1">IFERROR(INDIRECT("fixtures!" &amp; Dashboard!J1 &amp;207) - Dashboard!K1/24,"TBC")</f>
        <v>46029.833333333336</v>
      </c>
      <c r="CV28" s="17"/>
      <c r="CW28" s="17" t="s">
        <v>15</v>
      </c>
      <c r="CX28" s="17" t="s">
        <v>93</v>
      </c>
      <c r="CY28" s="231" t="str">
        <f>IF(ISBLANK(fixtures!$K207),"",fixtures!$K207)</f>
        <v/>
      </c>
      <c r="CZ28" s="17" t="str">
        <f>IF(ISBLANK(fixtures!$L207),"",":")</f>
        <v/>
      </c>
      <c r="DA28" s="232" t="str">
        <f>IF(ISBLANK(fixtures!$L207),"",fixtures!$L207)</f>
        <v/>
      </c>
      <c r="DB28" s="17" t="str">
        <f>IF(ISBLANK(fixtures!$L207),"",IF(CY28&gt;DA28,"W",IF(CY28=DA28,"D","L")))</f>
        <v/>
      </c>
      <c r="DC28" s="17"/>
      <c r="DD28" s="17"/>
      <c r="DE28" s="444">
        <v>7</v>
      </c>
      <c r="DF28" s="143" t="s">
        <v>439</v>
      </c>
      <c r="DG28" s="446">
        <f ca="1">IFERROR(INDIRECT("fixtures!" &amp; Dashboard!J1 &amp;208) - Dashboard!K1/24,"TBC")</f>
        <v>46029.833333333336</v>
      </c>
      <c r="DH28" s="143"/>
      <c r="DI28" s="143" t="s">
        <v>6</v>
      </c>
      <c r="DJ28" s="143" t="s">
        <v>93</v>
      </c>
      <c r="DK28" s="444" t="str">
        <f>IF(ISBLANK(fixtures!$K208),"",fixtures!$K208)</f>
        <v/>
      </c>
      <c r="DL28" s="143" t="str">
        <f>IF(ISBLANK(fixtures!$L208),"",":")</f>
        <v/>
      </c>
      <c r="DM28" s="445" t="str">
        <f>IF(ISBLANK(fixtures!$L208),"",fixtures!$L208)</f>
        <v/>
      </c>
      <c r="DN28" s="143" t="str">
        <f>IF(ISBLANK(fixtures!$L208),"",IF(DK28&gt;DM28,"W",IF(DK28=DM28,"D","L")))</f>
        <v/>
      </c>
      <c r="DO28" s="143"/>
      <c r="DP28" s="143"/>
      <c r="DQ28" s="382">
        <v>7</v>
      </c>
      <c r="DR28" s="380" t="s">
        <v>439</v>
      </c>
      <c r="DS28" s="384">
        <f ca="1">IFERROR(INDIRECT("fixtures!" &amp; Dashboard!J1 &amp;210) - Dashboard!K1/24,"TBC")</f>
        <v>46029.833333333336</v>
      </c>
      <c r="DT28" s="380"/>
      <c r="DU28" s="380" t="s">
        <v>12</v>
      </c>
      <c r="DV28" s="380" t="s">
        <v>92</v>
      </c>
      <c r="DW28" s="382" t="str">
        <f>IF(ISBLANK(fixtures!$L210),"",fixtures!$L210)</f>
        <v/>
      </c>
      <c r="DX28" s="380" t="str">
        <f>IF(ISBLANK(fixtures!$L210),"",":")</f>
        <v/>
      </c>
      <c r="DY28" s="383" t="str">
        <f>IF(ISBLANK(fixtures!$K210),"",fixtures!$K210)</f>
        <v/>
      </c>
      <c r="DZ28" s="380" t="str">
        <f>IF(ISBLANK(fixtures!$L210),"",IF(DW28&gt;DY28,"W",IF(DW28=DY28,"D","L")))</f>
        <v/>
      </c>
      <c r="EA28" s="380"/>
      <c r="EB28" s="380"/>
      <c r="EC28" s="207">
        <v>7</v>
      </c>
      <c r="ED28" s="19" t="s">
        <v>439</v>
      </c>
      <c r="EE28" s="239">
        <f ca="1">IFERROR(INDIRECT("fixtures!" &amp; Dashboard!J1 &amp;202) - Dashboard!K1/24,"TBC")</f>
        <v>46029.833333333336</v>
      </c>
      <c r="EF28" s="19"/>
      <c r="EG28" s="19" t="s">
        <v>1</v>
      </c>
      <c r="EH28" s="19" t="s">
        <v>92</v>
      </c>
      <c r="EI28" s="207" t="str">
        <f>IF(ISBLANK(fixtures!$L202),"",fixtures!$L202)</f>
        <v/>
      </c>
      <c r="EJ28" s="19" t="str">
        <f>IF(ISBLANK(fixtures!$L202),"",":")</f>
        <v/>
      </c>
      <c r="EK28" s="209" t="str">
        <f>IF(ISBLANK(fixtures!$K202),"",fixtures!$K202)</f>
        <v/>
      </c>
      <c r="EL28" s="19" t="str">
        <f>IF(ISBLANK(fixtures!$L202),"",IF(EI28&gt;EK28,"W",IF(EI28=EK28,"D","L")))</f>
        <v/>
      </c>
      <c r="EM28" s="19"/>
      <c r="EN28" s="19"/>
      <c r="EO28" s="80">
        <v>7</v>
      </c>
      <c r="EP28" s="21" t="s">
        <v>439</v>
      </c>
      <c r="EQ28" s="245">
        <f ca="1">IFERROR(INDIRECT("fixtures!" &amp; Dashboard!J1 &amp;209) - Dashboard!K1/24,"TBC")</f>
        <v>46029.833333333336</v>
      </c>
      <c r="ER28" s="21"/>
      <c r="ES28" s="21" t="s">
        <v>4</v>
      </c>
      <c r="ET28" s="21" t="s">
        <v>93</v>
      </c>
      <c r="EU28" s="80" t="str">
        <f>IF(ISBLANK(fixtures!$K209),"",fixtures!$K209)</f>
        <v/>
      </c>
      <c r="EV28" s="21" t="str">
        <f>IF(ISBLANK(fixtures!$L209),"",":")</f>
        <v/>
      </c>
      <c r="EW28" s="82" t="str">
        <f>IF(ISBLANK(fixtures!$L209),"",fixtures!$L209)</f>
        <v/>
      </c>
      <c r="EX28" s="21" t="str">
        <f>IF(ISBLANK(fixtures!$L209),"",IF(EU28&gt;EW28,"W",IF(EU28=EW28,"D","L")))</f>
        <v/>
      </c>
      <c r="EY28" s="21"/>
      <c r="EZ28" s="21"/>
      <c r="FA28" s="251">
        <v>7</v>
      </c>
      <c r="FB28" s="252" t="s">
        <v>439</v>
      </c>
      <c r="FC28" s="253">
        <f ca="1">IFERROR(INDIRECT("fixtures!" &amp; Dashboard!J1 &amp;205) - Dashboard!K1/24,"TBC")</f>
        <v>46029.833333333336</v>
      </c>
      <c r="FD28" s="23"/>
      <c r="FE28" s="23" t="s">
        <v>5</v>
      </c>
      <c r="FF28" s="23" t="s">
        <v>92</v>
      </c>
      <c r="FG28" s="251" t="str">
        <f>IF(ISBLANK(fixtures!$L205),"",fixtures!$L205)</f>
        <v/>
      </c>
      <c r="FH28" s="23" t="str">
        <f>IF(ISBLANK(fixtures!$L205),"",":")</f>
        <v/>
      </c>
      <c r="FI28" s="252" t="str">
        <f>IF(ISBLANK(fixtures!$K205),"",fixtures!$K205)</f>
        <v/>
      </c>
      <c r="FJ28" s="23" t="str">
        <f>IF(ISBLANK(fixtures!$L205),"",IF(FG28&gt;FI28,"W",IF(FG28=FI28,"D","L")))</f>
        <v/>
      </c>
      <c r="FK28" s="23"/>
      <c r="FL28" s="23"/>
      <c r="FM28" s="85">
        <v>7</v>
      </c>
      <c r="FN28" s="25" t="s">
        <v>439</v>
      </c>
      <c r="FO28" s="259">
        <f ca="1">IFERROR(INDIRECT("fixtures!" &amp; Dashboard!J1 &amp;210) - Dashboard!K1/24,"TBC")</f>
        <v>46029.833333333336</v>
      </c>
      <c r="FP28" s="25"/>
      <c r="FQ28" s="25" t="s">
        <v>444</v>
      </c>
      <c r="FR28" s="25" t="s">
        <v>93</v>
      </c>
      <c r="FS28" s="85" t="str">
        <f>IF(ISBLANK(fixtures!$K210),"",fixtures!$K210)</f>
        <v/>
      </c>
      <c r="FT28" s="25" t="str">
        <f>IF(ISBLANK(fixtures!$L210),"",":")</f>
        <v/>
      </c>
      <c r="FU28" s="87" t="str">
        <f>IF(ISBLANK(fixtures!$L210),"",fixtures!$L210)</f>
        <v/>
      </c>
      <c r="FV28" s="25" t="str">
        <f>IF(ISBLANK(fixtures!$L210),"",IF(FS28&gt;FU28,"W",IF(FS28=FU28,"D","L")))</f>
        <v/>
      </c>
      <c r="FW28" s="25"/>
      <c r="FX28" s="25"/>
      <c r="FY28" s="402">
        <v>7</v>
      </c>
      <c r="FZ28" s="390" t="s">
        <v>439</v>
      </c>
      <c r="GA28" s="404">
        <f ca="1">IFERROR(INDIRECT("fixtures!" &amp; Dashboard!J1 &amp;211) - Dashboard!K1/24,"TBC")</f>
        <v>46029.833333333336</v>
      </c>
      <c r="GB28" s="390"/>
      <c r="GC28" s="390" t="s">
        <v>14</v>
      </c>
      <c r="GD28" s="390" t="s">
        <v>92</v>
      </c>
      <c r="GE28" s="402" t="str">
        <f>IF(ISBLANK(fixtures!$L211),"",fixtures!$L211)</f>
        <v/>
      </c>
      <c r="GF28" s="390" t="str">
        <f>IF(ISBLANK(fixtures!$L211),"",":")</f>
        <v/>
      </c>
      <c r="GG28" s="403" t="str">
        <f>IF(ISBLANK(fixtures!$K211),"",fixtures!$K211)</f>
        <v/>
      </c>
      <c r="GH28" s="390" t="str">
        <f>IF(ISBLANK(fixtures!$L211),"",IF(GE28&gt;GG28,"W",IF(GE28=GG28,"D","L")))</f>
        <v/>
      </c>
      <c r="GI28" s="390"/>
      <c r="GJ28" s="390"/>
      <c r="GK28" s="89">
        <v>7</v>
      </c>
      <c r="GL28" s="27" t="s">
        <v>439</v>
      </c>
      <c r="GM28" s="266">
        <f ca="1">IFERROR(INDIRECT("fixtures!" &amp; Dashboard!J1 &amp;203) - Dashboard!K1/24,"TBC")</f>
        <v>46029.833333333336</v>
      </c>
      <c r="GN28" s="27"/>
      <c r="GO28" s="27" t="s">
        <v>3</v>
      </c>
      <c r="GP28" s="27" t="s">
        <v>92</v>
      </c>
      <c r="GQ28" s="89" t="str">
        <f>IF(ISBLANK(fixtures!$L203),"",fixtures!$L203)</f>
        <v/>
      </c>
      <c r="GR28" s="27" t="str">
        <f>IF(ISBLANK(fixtures!$L203),"",":")</f>
        <v/>
      </c>
      <c r="GS28" s="90" t="str">
        <f>IF(ISBLANK(fixtures!$K203),"",fixtures!$K203)</f>
        <v/>
      </c>
      <c r="GT28" s="27" t="str">
        <f>IF(ISBLANK(fixtures!$L203),"",IF(GQ28&gt;GS28,"W",IF(GQ28=GS28,"D","L")))</f>
        <v/>
      </c>
      <c r="GU28" s="27"/>
      <c r="GV28" s="27"/>
      <c r="GW28" s="382">
        <v>7</v>
      </c>
      <c r="GX28" s="380" t="s">
        <v>439</v>
      </c>
      <c r="GY28" s="384">
        <f ca="1">IFERROR(INDIRECT("fixtures!" &amp; Dashboard!J1 &amp;204) - Dashboard!K1/24,"TBC")</f>
        <v>46029.833333333336</v>
      </c>
      <c r="GZ28" s="380"/>
      <c r="HA28" s="380" t="s">
        <v>107</v>
      </c>
      <c r="HB28" s="380" t="s">
        <v>92</v>
      </c>
      <c r="HC28" s="382" t="str">
        <f>IF(ISBLANK(fixtures!$L204),"",fixtures!$L204)</f>
        <v/>
      </c>
      <c r="HD28" s="380" t="str">
        <f>IF(ISBLANK(fixtures!$L204),"",":")</f>
        <v/>
      </c>
      <c r="HE28" s="383" t="str">
        <f>IF(ISBLANK(fixtures!$K204),"",fixtures!$K204)</f>
        <v/>
      </c>
      <c r="HF28" s="380" t="str">
        <f>IF(ISBLANK(fixtures!$L204),"",IF(HC28&gt;HE28,"W",IF(HC28=HE28,"D","L")))</f>
        <v/>
      </c>
      <c r="HG28" s="380"/>
      <c r="HH28" s="380"/>
      <c r="HI28" s="92">
        <v>7</v>
      </c>
      <c r="HJ28" s="29" t="s">
        <v>439</v>
      </c>
      <c r="HK28" s="272">
        <f ca="1">IFERROR(INDIRECT("fixtures!" &amp; Dashboard!J1 &amp;211) - Dashboard!K1/24,"TBC")</f>
        <v>46029.833333333336</v>
      </c>
      <c r="HL28" s="29"/>
      <c r="HM28" s="29" t="s">
        <v>188</v>
      </c>
      <c r="HN28" s="29" t="s">
        <v>93</v>
      </c>
      <c r="HO28" s="92" t="str">
        <f>IF(ISBLANK(fixtures!$K211),"",fixtures!$K211)</f>
        <v/>
      </c>
      <c r="HP28" s="29" t="str">
        <f>IF(ISBLANK(fixtures!$L211),"",":")</f>
        <v/>
      </c>
      <c r="HQ28" s="94" t="str">
        <f>IF(ISBLANK(fixtures!$L211),"",fixtures!$L211)</f>
        <v/>
      </c>
      <c r="HR28" s="29" t="str">
        <f>IF(ISBLANK(fixtures!$L211),"",IF(HO28&gt;HQ28,"W",IF(HO28=HQ28,"D","L")))</f>
        <v/>
      </c>
      <c r="HS28" s="29"/>
      <c r="HT28" s="29"/>
      <c r="HU28" s="97">
        <v>7</v>
      </c>
      <c r="HV28" s="31" t="s">
        <v>439</v>
      </c>
      <c r="HW28" s="278">
        <f ca="1">IFERROR(INDIRECT("fixtures!" &amp; Dashboard!J1 &amp;207) - Dashboard!K1/24,"TBC")</f>
        <v>46029.833333333336</v>
      </c>
      <c r="HX28" s="31"/>
      <c r="HY28" s="31" t="s">
        <v>8</v>
      </c>
      <c r="HZ28" s="31" t="s">
        <v>92</v>
      </c>
      <c r="IA28" s="97" t="str">
        <f>IF(ISBLANK(fixtures!$L207),"",fixtures!$L207)</f>
        <v/>
      </c>
      <c r="IB28" s="31" t="str">
        <f>IF(ISBLANK(fixtures!$L207),"",":")</f>
        <v/>
      </c>
      <c r="IC28" s="99" t="str">
        <f>IF(ISBLANK(fixtures!$K207),"",fixtures!$K207)</f>
        <v/>
      </c>
      <c r="ID28" s="31" t="str">
        <f>IF(ISBLANK(fixtures!$L207),"",IF(IA28&gt;IC28,"W",IF(IA28=IC28,"D","L")))</f>
        <v/>
      </c>
      <c r="IE28" s="31"/>
      <c r="IF28" s="31"/>
    </row>
    <row r="29" spans="1:243">
      <c r="A29" s="66">
        <v>17</v>
      </c>
      <c r="B29" s="6" t="s">
        <v>218</v>
      </c>
      <c r="C29" s="214">
        <f ca="1">IFERROR(INDIRECT("fixtures!" &amp; Dashboard!J1 &amp;218) - Dashboard!K1/24,"TBC")</f>
        <v>46039.625</v>
      </c>
      <c r="D29" s="6"/>
      <c r="E29" s="6" t="s">
        <v>188</v>
      </c>
      <c r="F29" s="6" t="s">
        <v>92</v>
      </c>
      <c r="G29" s="66" t="str">
        <f>IF(ISBLANK(fixtures!$L218),"",fixtures!$L218)</f>
        <v/>
      </c>
      <c r="H29" s="6" t="str">
        <f>IF(ISBLANK(fixtures!$L218),"",":")</f>
        <v/>
      </c>
      <c r="I29" s="68" t="str">
        <f>IF(ISBLANK(fixtures!$K218),"",fixtures!$K218)</f>
        <v/>
      </c>
      <c r="J29" s="6" t="str">
        <f>IF(ISBLANK(fixtures!$L218),"",IF(G29&gt;I29,"W",IF(G29=I29,"D","L")))</f>
        <v/>
      </c>
      <c r="K29" s="6"/>
      <c r="L29" s="6"/>
      <c r="M29" s="382">
        <v>17</v>
      </c>
      <c r="N29" s="383" t="s">
        <v>218</v>
      </c>
      <c r="O29" s="384">
        <f ca="1">IFERROR(INDIRECT("fixtures!" &amp; Dashboard!J1 &amp;212) - Dashboard!K1/24,"TBC")</f>
        <v>46039.625</v>
      </c>
      <c r="P29" s="380"/>
      <c r="Q29" s="380" t="s">
        <v>8</v>
      </c>
      <c r="R29" s="380" t="s">
        <v>93</v>
      </c>
      <c r="S29" s="382" t="str">
        <f>IF(ISBLANK(fixtures!$K212),"",fixtures!$K212)</f>
        <v/>
      </c>
      <c r="T29" s="380" t="str">
        <f>IF(ISBLANK(fixtures!$L212),"",":")</f>
        <v/>
      </c>
      <c r="U29" s="383" t="str">
        <f>IF(ISBLANK(fixtures!$L212),"",fixtures!$L212)</f>
        <v/>
      </c>
      <c r="V29" s="380" t="str">
        <f>IF(ISBLANK(fixtures!$L212),"",IF(S29&gt;U29,"W",IF(S29=U29,"D","L")))</f>
        <v/>
      </c>
      <c r="W29" s="380"/>
      <c r="X29" s="380"/>
      <c r="Y29" s="418">
        <v>17</v>
      </c>
      <c r="Z29" s="412" t="s">
        <v>218</v>
      </c>
      <c r="AA29" s="420">
        <f ca="1">IFERROR(INDIRECT("fixtures!" &amp; Dashboard!J1 &amp;213) - Dashboard!K1/24,"TBC")</f>
        <v>46039.625</v>
      </c>
      <c r="AB29" s="412"/>
      <c r="AC29" s="412" t="s">
        <v>4</v>
      </c>
      <c r="AD29" s="412" t="s">
        <v>92</v>
      </c>
      <c r="AE29" s="418" t="str">
        <f>IF(ISBLANK(fixtures!$L213),"",fixtures!$L213)</f>
        <v/>
      </c>
      <c r="AF29" s="412" t="str">
        <f>IF(ISBLANK(fixtures!$L213),"",":")</f>
        <v/>
      </c>
      <c r="AG29" s="419" t="str">
        <f>IF(ISBLANK(fixtures!$K213),"",fixtures!$K213)</f>
        <v/>
      </c>
      <c r="AH29" s="412" t="str">
        <f>IF(ISBLANK(fixtures!$L213),"",IF(AE29&gt;AG29,"W",IF(AE29=AG29,"D","L")))</f>
        <v/>
      </c>
      <c r="AI29" s="412"/>
      <c r="AJ29" s="412"/>
      <c r="AK29" s="427">
        <v>17</v>
      </c>
      <c r="AL29" s="413" t="s">
        <v>218</v>
      </c>
      <c r="AM29" s="429">
        <f ca="1">IFERROR(INDIRECT("fixtures!" &amp; Dashboard!J1 &amp;214) - Dashboard!K1/24,"TBC")</f>
        <v>46039.625</v>
      </c>
      <c r="AN29" s="413"/>
      <c r="AO29" s="413" t="s">
        <v>6</v>
      </c>
      <c r="AP29" s="413" t="s">
        <v>92</v>
      </c>
      <c r="AQ29" s="427" t="str">
        <f>IF(ISBLANK(fixtures!$L214),"",fixtures!$L214)</f>
        <v/>
      </c>
      <c r="AR29" s="413" t="str">
        <f>IF(ISBLANK(fixtures!$L214),"",":")</f>
        <v/>
      </c>
      <c r="AS29" s="428" t="str">
        <f>IF(ISBLANK(fixtures!$K214),"",fixtures!$K214)</f>
        <v/>
      </c>
      <c r="AT29" s="413" t="str">
        <f>IF(ISBLANK(fixtures!$L214),"",IF(AQ29&gt;AS29,"W",IF(AQ29=AS29,"D","L")))</f>
        <v/>
      </c>
      <c r="AU29" s="413"/>
      <c r="AV29" s="413"/>
      <c r="AW29" s="71">
        <v>17</v>
      </c>
      <c r="AX29" s="9" t="s">
        <v>218</v>
      </c>
      <c r="AY29" s="219">
        <f ca="1">IFERROR(INDIRECT("fixtures!" &amp; Dashboard!J1 &amp;213) - Dashboard!K1/24,"TBC")</f>
        <v>46039.625</v>
      </c>
      <c r="AZ29" s="9"/>
      <c r="BA29" s="9" t="s">
        <v>3</v>
      </c>
      <c r="BB29" s="9" t="s">
        <v>93</v>
      </c>
      <c r="BC29" s="71" t="str">
        <f>IF(ISBLANK(fixtures!$K213),"",fixtures!$K213)</f>
        <v/>
      </c>
      <c r="BD29" s="9" t="str">
        <f>IF(ISBLANK(fixtures!$L213),"",":")</f>
        <v/>
      </c>
      <c r="BE29" s="73" t="str">
        <f>IF(ISBLANK(fixtures!$L213),"",fixtures!$L213)</f>
        <v/>
      </c>
      <c r="BF29" s="9" t="str">
        <f>IF(ISBLANK(fixtures!$L213),"",IF(BC29&gt;BE29,"W",IF(BC29=BE29,"D","L")))</f>
        <v/>
      </c>
      <c r="BG29" s="9"/>
      <c r="BH29" s="9"/>
      <c r="BI29" s="436">
        <v>17</v>
      </c>
      <c r="BJ29" s="414" t="s">
        <v>218</v>
      </c>
      <c r="BK29" s="438">
        <f ca="1">IFERROR(INDIRECT("fixtures!" &amp; Dashboard!J1 &amp;216) - Dashboard!K1/24,"TBC")</f>
        <v>46039.625</v>
      </c>
      <c r="BL29" s="414"/>
      <c r="BM29" s="414" t="s">
        <v>9</v>
      </c>
      <c r="BN29" s="414" t="s">
        <v>92</v>
      </c>
      <c r="BO29" s="436" t="str">
        <f>IF(ISBLANK(fixtures!$L216),"",fixtures!$L216)</f>
        <v/>
      </c>
      <c r="BP29" s="414" t="str">
        <f>IF(ISBLANK(fixtures!$L216),"",":")</f>
        <v/>
      </c>
      <c r="BQ29" s="437" t="str">
        <f>IF(ISBLANK(fixtures!$K216),"",fixtures!$K216)</f>
        <v/>
      </c>
      <c r="BR29" s="414" t="str">
        <f>IF(ISBLANK(fixtures!$L216),"",IF(BO29&gt;BQ29,"W",IF(BO29=BQ29,"D","L")))</f>
        <v/>
      </c>
      <c r="BS29" s="414"/>
      <c r="BT29" s="414"/>
      <c r="BU29" s="146">
        <v>17</v>
      </c>
      <c r="BV29" s="13" t="s">
        <v>218</v>
      </c>
      <c r="BW29" s="225">
        <f ca="1">IFERROR(INDIRECT("fixtures!" &amp; Dashboard!J1 &amp;214) - Dashboard!K1/24,"TBC")</f>
        <v>46039.625</v>
      </c>
      <c r="BX29" s="13"/>
      <c r="BY29" s="13" t="s">
        <v>107</v>
      </c>
      <c r="BZ29" s="13" t="s">
        <v>93</v>
      </c>
      <c r="CA29" s="146" t="str">
        <f>IF(ISBLANK(fixtures!$K214),"",fixtures!$K214)</f>
        <v/>
      </c>
      <c r="CB29" s="13" t="str">
        <f>IF(ISBLANK(fixtures!$L214),"",":")</f>
        <v/>
      </c>
      <c r="CC29" s="148" t="str">
        <f>IF(ISBLANK(fixtures!$L214),"",fixtures!$L214)</f>
        <v/>
      </c>
      <c r="CD29" s="13" t="str">
        <f>IF(ISBLANK(fixtures!$L214),"",IF(CA29&gt;CC29,"W",IF(CA29=CC29,"D","L")))</f>
        <v/>
      </c>
      <c r="CE29" s="13"/>
      <c r="CF29" s="13"/>
      <c r="CG29" s="394">
        <v>17</v>
      </c>
      <c r="CH29" s="14" t="s">
        <v>218</v>
      </c>
      <c r="CI29" s="396">
        <f ca="1">IFERROR(INDIRECT("fixtures!" &amp; Dashboard!J1 &amp;220) - Dashboard!K1/24,"TBC")</f>
        <v>46039.625</v>
      </c>
      <c r="CJ29" s="14"/>
      <c r="CK29" s="14" t="s">
        <v>443</v>
      </c>
      <c r="CL29" s="14" t="s">
        <v>92</v>
      </c>
      <c r="CM29" s="394" t="str">
        <f>IF(ISBLANK(fixtures!$L220),"",fixtures!$L220)</f>
        <v/>
      </c>
      <c r="CN29" s="14" t="str">
        <f>IF(ISBLANK(fixtures!$L220),"",":")</f>
        <v/>
      </c>
      <c r="CO29" s="395" t="str">
        <f>IF(ISBLANK(fixtures!$K220),"",fixtures!$K220)</f>
        <v/>
      </c>
      <c r="CP29" s="14" t="str">
        <f>IF(ISBLANK(fixtures!$L220),"",IF(CM29&gt;CO29,"W",IF(CM29=CO29,"D","L")))</f>
        <v/>
      </c>
      <c r="CQ29" s="14"/>
      <c r="CR29" s="14"/>
      <c r="CS29" s="231">
        <v>17</v>
      </c>
      <c r="CT29" s="17" t="s">
        <v>218</v>
      </c>
      <c r="CU29" s="233">
        <f ca="1">IFERROR(INDIRECT("fixtures!" &amp; Dashboard!J1 &amp;212) - Dashboard!K1/24,"TBC")</f>
        <v>46039.625</v>
      </c>
      <c r="CV29" s="17"/>
      <c r="CW29" s="17" t="s">
        <v>2</v>
      </c>
      <c r="CX29" s="17" t="s">
        <v>92</v>
      </c>
      <c r="CY29" s="231" t="str">
        <f>IF(ISBLANK(fixtures!$L212),"",fixtures!$L212)</f>
        <v/>
      </c>
      <c r="CZ29" s="17" t="str">
        <f>IF(ISBLANK(fixtures!$L212),"",":")</f>
        <v/>
      </c>
      <c r="DA29" s="232" t="str">
        <f>IF(ISBLANK(fixtures!$K212),"",fixtures!$K212)</f>
        <v/>
      </c>
      <c r="DB29" s="17" t="str">
        <f>IF(ISBLANK(fixtures!$L212),"",IF(CY29&gt;DA29,"W",IF(CY29=DA29,"D","L")))</f>
        <v/>
      </c>
      <c r="DC29" s="17"/>
      <c r="DD29" s="17"/>
      <c r="DE29" s="444">
        <v>17</v>
      </c>
      <c r="DF29" s="143" t="s">
        <v>218</v>
      </c>
      <c r="DG29" s="446">
        <f ca="1">IFERROR(INDIRECT("fixtures!" &amp; Dashboard!J1 &amp;215) - Dashboard!K1/24,"TBC")</f>
        <v>46039.625</v>
      </c>
      <c r="DH29" s="143"/>
      <c r="DI29" s="143" t="s">
        <v>444</v>
      </c>
      <c r="DJ29" s="143" t="s">
        <v>92</v>
      </c>
      <c r="DK29" s="444" t="str">
        <f>IF(ISBLANK(fixtures!$L215),"",fixtures!$L215)</f>
        <v/>
      </c>
      <c r="DL29" s="143" t="str">
        <f>IF(ISBLANK(fixtures!$L215),"",":")</f>
        <v/>
      </c>
      <c r="DM29" s="445" t="str">
        <f>IF(ISBLANK(fixtures!$K215),"",fixtures!$K215)</f>
        <v/>
      </c>
      <c r="DN29" s="143" t="str">
        <f>IF(ISBLANK(fixtures!$L215),"",IF(DK29&gt;DM29,"W",IF(DK29=DM29,"D","L")))</f>
        <v/>
      </c>
      <c r="DO29" s="143"/>
      <c r="DP29" s="143"/>
      <c r="DQ29" s="382">
        <v>17</v>
      </c>
      <c r="DR29" s="380" t="s">
        <v>218</v>
      </c>
      <c r="DS29" s="384">
        <f ca="1">IFERROR(INDIRECT("fixtures!" &amp; Dashboard!J1 &amp;215) - Dashboard!K1/24,"TBC")</f>
        <v>46039.625</v>
      </c>
      <c r="DT29" s="380"/>
      <c r="DU29" s="380" t="s">
        <v>108</v>
      </c>
      <c r="DV29" s="380" t="s">
        <v>93</v>
      </c>
      <c r="DW29" s="382" t="str">
        <f>IF(ISBLANK(fixtures!$K215),"",fixtures!$K215)</f>
        <v/>
      </c>
      <c r="DX29" s="380" t="str">
        <f>IF(ISBLANK(fixtures!$L215),"",":")</f>
        <v/>
      </c>
      <c r="DY29" s="383" t="str">
        <f>IF(ISBLANK(fixtures!$L215),"",fixtures!$L215)</f>
        <v/>
      </c>
      <c r="DZ29" s="380" t="str">
        <f>IF(ISBLANK(fixtures!$L215),"",IF(DW29&gt;DY29,"W",IF(DW29=DY29,"D","L")))</f>
        <v/>
      </c>
      <c r="EA29" s="380"/>
      <c r="EB29" s="380"/>
      <c r="EC29" s="207">
        <v>17</v>
      </c>
      <c r="ED29" s="19" t="s">
        <v>218</v>
      </c>
      <c r="EE29" s="239">
        <f ca="1">IFERROR(INDIRECT("fixtures!" &amp; Dashboard!J1 &amp;216) - Dashboard!K1/24,"TBC")</f>
        <v>46039.625</v>
      </c>
      <c r="EF29" s="19"/>
      <c r="EG29" s="19" t="s">
        <v>5</v>
      </c>
      <c r="EH29" s="19" t="s">
        <v>93</v>
      </c>
      <c r="EI29" s="207" t="str">
        <f>IF(ISBLANK(fixtures!$K216),"",fixtures!$K216)</f>
        <v/>
      </c>
      <c r="EJ29" s="19" t="str">
        <f>IF(ISBLANK(fixtures!$L216),"",":")</f>
        <v/>
      </c>
      <c r="EK29" s="209" t="str">
        <f>IF(ISBLANK(fixtures!$L216),"",fixtures!$L216)</f>
        <v/>
      </c>
      <c r="EL29" s="19" t="str">
        <f>IF(ISBLANK(fixtures!$L216),"",IF(EI29&gt;EK29,"W",IF(EI29=EK29,"D","L")))</f>
        <v/>
      </c>
      <c r="EM29" s="19"/>
      <c r="EN29" s="19"/>
      <c r="EO29" s="80">
        <v>17</v>
      </c>
      <c r="EP29" s="21" t="s">
        <v>218</v>
      </c>
      <c r="EQ29" s="245">
        <f ca="1">IFERROR(INDIRECT("fixtures!" &amp; Dashboard!J1 &amp;217) - Dashboard!K1/24,"TBC")</f>
        <v>46039.625</v>
      </c>
      <c r="ER29" s="21"/>
      <c r="ES29" s="21" t="s">
        <v>11</v>
      </c>
      <c r="ET29" s="21" t="s">
        <v>92</v>
      </c>
      <c r="EU29" s="80" t="str">
        <f>IF(ISBLANK(fixtures!$L217),"",fixtures!$L217)</f>
        <v/>
      </c>
      <c r="EV29" s="21" t="str">
        <f>IF(ISBLANK(fixtures!$L217),"",":")</f>
        <v/>
      </c>
      <c r="EW29" s="82" t="str">
        <f>IF(ISBLANK(fixtures!$K217),"",fixtures!$K217)</f>
        <v/>
      </c>
      <c r="EX29" s="21" t="str">
        <f>IF(ISBLANK(fixtures!$L217),"",IF(EU29&gt;EW29,"W",IF(EU29=EW29,"D","L")))</f>
        <v/>
      </c>
      <c r="EY29" s="21"/>
      <c r="EZ29" s="21"/>
      <c r="FA29" s="251">
        <v>17</v>
      </c>
      <c r="FB29" s="23" t="s">
        <v>218</v>
      </c>
      <c r="FC29" s="253">
        <f ca="1">IFERROR(INDIRECT("fixtures!" &amp; Dashboard!J1 &amp;217) - Dashboard!K1/24,"TBC")</f>
        <v>46039.625</v>
      </c>
      <c r="FD29" s="23"/>
      <c r="FE29" s="23" t="s">
        <v>10</v>
      </c>
      <c r="FF29" s="23" t="s">
        <v>93</v>
      </c>
      <c r="FG29" s="251" t="str">
        <f>IF(ISBLANK(fixtures!$K217),"",fixtures!$K217)</f>
        <v/>
      </c>
      <c r="FH29" s="23" t="str">
        <f>IF(ISBLANK(fixtures!$L217),"",":")</f>
        <v/>
      </c>
      <c r="FI29" s="252" t="str">
        <f>IF(ISBLANK(fixtures!$L217),"",fixtures!$L217)</f>
        <v/>
      </c>
      <c r="FJ29" s="23" t="str">
        <f>IF(ISBLANK(fixtures!$L217),"",IF(FG29&gt;FI29,"W",IF(FG29=FI29,"D","L")))</f>
        <v/>
      </c>
      <c r="FK29" s="23"/>
      <c r="FL29" s="23"/>
      <c r="FM29" s="85">
        <v>17</v>
      </c>
      <c r="FN29" s="25" t="s">
        <v>218</v>
      </c>
      <c r="FO29" s="259">
        <f ca="1">IFERROR(INDIRECT("fixtures!" &amp; Dashboard!J1 &amp;221) - Dashboard!K1/24,"TBC")</f>
        <v>46039.625</v>
      </c>
      <c r="FP29" s="25"/>
      <c r="FQ29" s="25" t="s">
        <v>15</v>
      </c>
      <c r="FR29" s="25" t="s">
        <v>92</v>
      </c>
      <c r="FS29" s="85" t="str">
        <f>IF(ISBLANK(fixtures!$L221),"",fixtures!$L221)</f>
        <v/>
      </c>
      <c r="FT29" s="25" t="str">
        <f>IF(ISBLANK(fixtures!$L221),"",":")</f>
        <v/>
      </c>
      <c r="FU29" s="87" t="str">
        <f>IF(ISBLANK(fixtures!$K221),"",fixtures!$K221)</f>
        <v/>
      </c>
      <c r="FV29" s="25" t="str">
        <f>IF(ISBLANK(fixtures!$L221),"",IF(FS29&gt;FU29,"W",IF(FS29=FU29,"D","L")))</f>
        <v/>
      </c>
      <c r="FW29" s="25"/>
      <c r="FX29" s="25"/>
      <c r="FY29" s="402">
        <v>17</v>
      </c>
      <c r="FZ29" s="390" t="s">
        <v>218</v>
      </c>
      <c r="GA29" s="404">
        <f ca="1">IFERROR(INDIRECT("fixtures!" &amp; Dashboard!J1 &amp;218) - Dashboard!K1/24,"TBC")</f>
        <v>46039.625</v>
      </c>
      <c r="GB29" s="390"/>
      <c r="GC29" s="390" t="s">
        <v>1</v>
      </c>
      <c r="GD29" s="390" t="s">
        <v>93</v>
      </c>
      <c r="GE29" s="402" t="str">
        <f>IF(ISBLANK(fixtures!$K218),"",fixtures!$K218)</f>
        <v/>
      </c>
      <c r="GF29" s="390" t="str">
        <f>IF(ISBLANK(fixtures!$L218),"",":")</f>
        <v/>
      </c>
      <c r="GG29" s="403" t="str">
        <f>IF(ISBLANK(fixtures!$L218),"",fixtures!$L218)</f>
        <v/>
      </c>
      <c r="GH29" s="390" t="str">
        <f>IF(ISBLANK(fixtures!$L218),"",IF(GE29&gt;GG29,"W",IF(GE29=GG29,"D","L")))</f>
        <v/>
      </c>
      <c r="GI29" s="390"/>
      <c r="GJ29" s="390"/>
      <c r="GK29" s="89">
        <v>17</v>
      </c>
      <c r="GL29" s="27" t="s">
        <v>218</v>
      </c>
      <c r="GM29" s="266">
        <f ca="1">IFERROR(INDIRECT("fixtures!" &amp; Dashboard!J1 &amp;219) - Dashboard!K1/24,"TBC")</f>
        <v>46039.625</v>
      </c>
      <c r="GN29" s="27"/>
      <c r="GO29" s="27" t="s">
        <v>14</v>
      </c>
      <c r="GP29" s="27" t="s">
        <v>93</v>
      </c>
      <c r="GQ29" s="89" t="str">
        <f>IF(ISBLANK(fixtures!$K219),"",fixtures!$K219)</f>
        <v/>
      </c>
      <c r="GR29" s="27" t="str">
        <f>IF(ISBLANK(fixtures!$L219),"",":")</f>
        <v/>
      </c>
      <c r="GS29" s="90" t="str">
        <f>IF(ISBLANK(fixtures!$L219),"",fixtures!$L219)</f>
        <v/>
      </c>
      <c r="GT29" s="27" t="str">
        <f>IF(ISBLANK(fixtures!$L219),"",IF(GQ29&gt;GS29,"W",IF(GQ29=GS29,"D","L")))</f>
        <v/>
      </c>
      <c r="GU29" s="27"/>
      <c r="GV29" s="27"/>
      <c r="GW29" s="382">
        <v>17</v>
      </c>
      <c r="GX29" s="380" t="s">
        <v>218</v>
      </c>
      <c r="GY29" s="384">
        <f ca="1">IFERROR(INDIRECT("fixtures!" &amp; Dashboard!J1 &amp;220) - Dashboard!K1/24,"TBC")</f>
        <v>46039.625</v>
      </c>
      <c r="GZ29" s="380"/>
      <c r="HA29" s="380" t="s">
        <v>7</v>
      </c>
      <c r="HB29" s="380" t="s">
        <v>93</v>
      </c>
      <c r="HC29" s="382" t="str">
        <f>IF(ISBLANK(fixtures!$K220),"",fixtures!$K220)</f>
        <v/>
      </c>
      <c r="HD29" s="380" t="str">
        <f>IF(ISBLANK(fixtures!$L220),"",":")</f>
        <v/>
      </c>
      <c r="HE29" s="383" t="str">
        <f>IF(ISBLANK(fixtures!$L220),"",fixtures!$L220)</f>
        <v/>
      </c>
      <c r="HF29" s="380" t="str">
        <f>IF(ISBLANK(fixtures!$L220),"",IF(HC29&gt;HE29,"W",IF(HC29=HE29,"D","L")))</f>
        <v/>
      </c>
      <c r="HG29" s="380"/>
      <c r="HH29" s="380"/>
      <c r="HI29" s="92">
        <v>17</v>
      </c>
      <c r="HJ29" s="29" t="s">
        <v>218</v>
      </c>
      <c r="HK29" s="272">
        <f ca="1">IFERROR(INDIRECT("fixtures!" &amp; Dashboard!J1 &amp;219) - Dashboard!K1/24,"TBC")</f>
        <v>46039.625</v>
      </c>
      <c r="HL29" s="29"/>
      <c r="HM29" s="29" t="s">
        <v>13</v>
      </c>
      <c r="HN29" s="29" t="s">
        <v>92</v>
      </c>
      <c r="HO29" s="92" t="str">
        <f>IF(ISBLANK(fixtures!$L219),"",fixtures!$L219)</f>
        <v/>
      </c>
      <c r="HP29" s="29" t="str">
        <f>IF(ISBLANK(fixtures!$L219),"",":")</f>
        <v/>
      </c>
      <c r="HQ29" s="94" t="str">
        <f>IF(ISBLANK(fixtures!$K219),"",fixtures!$K219)</f>
        <v/>
      </c>
      <c r="HR29" s="29" t="str">
        <f>IF(ISBLANK(fixtures!$L219),"",IF(HO29&gt;HQ29,"W",IF(HO29=HQ29,"D","L")))</f>
        <v/>
      </c>
      <c r="HS29" s="29"/>
      <c r="HT29" s="29"/>
      <c r="HU29" s="97">
        <v>17</v>
      </c>
      <c r="HV29" s="31" t="s">
        <v>218</v>
      </c>
      <c r="HW29" s="278">
        <f ca="1">IFERROR(INDIRECT("fixtures!" &amp; Dashboard!J1 &amp;221) - Dashboard!K1/24,"TBC")</f>
        <v>46039.625</v>
      </c>
      <c r="HX29" s="31"/>
      <c r="HY29" s="31" t="s">
        <v>12</v>
      </c>
      <c r="HZ29" s="31" t="s">
        <v>93</v>
      </c>
      <c r="IA29" s="97" t="str">
        <f>IF(ISBLANK(fixtures!$K221),"",fixtures!$K221)</f>
        <v/>
      </c>
      <c r="IB29" s="31" t="str">
        <f>IF(ISBLANK(fixtures!$L221),"",":")</f>
        <v/>
      </c>
      <c r="IC29" s="99" t="str">
        <f>IF(ISBLANK(fixtures!$L221),"",fixtures!$L221)</f>
        <v/>
      </c>
      <c r="ID29" s="31" t="str">
        <f>IF(ISBLANK(fixtures!$L221),"",IF(IA29&gt;IC29,"W",IF(IA29=IC29,"D","L")))</f>
        <v/>
      </c>
      <c r="IE29" s="31"/>
      <c r="IF29" s="31"/>
    </row>
    <row r="30" spans="1:243">
      <c r="A30" s="66">
        <v>24</v>
      </c>
      <c r="B30" s="6" t="s">
        <v>218</v>
      </c>
      <c r="C30" s="214">
        <f ca="1">IFERROR(INDIRECT("fixtures!" &amp; Dashboard!J1 &amp;222) - Dashboard!K1/24,"TBC")</f>
        <v>46046.625</v>
      </c>
      <c r="D30" s="6"/>
      <c r="E30" s="6" t="s">
        <v>11</v>
      </c>
      <c r="F30" s="6" t="s">
        <v>93</v>
      </c>
      <c r="G30" s="66" t="str">
        <f>IF(ISBLANK(fixtures!$K222),"",fixtures!$K222)</f>
        <v/>
      </c>
      <c r="H30" s="6" t="str">
        <f>IF(ISBLANK(fixtures!$L222),"",":")</f>
        <v/>
      </c>
      <c r="I30" s="68" t="str">
        <f>IF(ISBLANK(fixtures!$L222),"",fixtures!$L222)</f>
        <v/>
      </c>
      <c r="J30" s="6" t="str">
        <f>IF(ISBLANK(fixtures!$L222),"",IF(G30&gt;I30,"W",IF(G30=I30,"D","L")))</f>
        <v/>
      </c>
      <c r="K30" s="6"/>
      <c r="L30" s="6"/>
      <c r="M30" s="382">
        <v>24</v>
      </c>
      <c r="N30" s="380" t="s">
        <v>218</v>
      </c>
      <c r="O30" s="384">
        <f ca="1">IFERROR(INDIRECT("fixtures!" &amp; Dashboard!J1 &amp;230) - Dashboard!K1/24,"TBC")</f>
        <v>46046.625</v>
      </c>
      <c r="P30" s="380"/>
      <c r="Q30" s="380" t="s">
        <v>12</v>
      </c>
      <c r="R30" s="380" t="s">
        <v>92</v>
      </c>
      <c r="S30" s="382" t="str">
        <f>IF(ISBLANK(fixtures!$L230),"",fixtures!$L230)</f>
        <v/>
      </c>
      <c r="T30" s="380" t="str">
        <f>IF(ISBLANK(fixtures!$L230),"",":")</f>
        <v/>
      </c>
      <c r="U30" s="383" t="str">
        <f>IF(ISBLANK(fixtures!$K230),"",fixtures!$K230)</f>
        <v/>
      </c>
      <c r="V30" s="380" t="str">
        <f>IF(ISBLANK(fixtures!$L230),"",IF(S30&gt;U30,"W",IF(S30=U30,"D","L")))</f>
        <v/>
      </c>
      <c r="W30" s="380"/>
      <c r="X30" s="380"/>
      <c r="Y30" s="418">
        <v>24</v>
      </c>
      <c r="Z30" s="412" t="s">
        <v>218</v>
      </c>
      <c r="AA30" s="420">
        <f ca="1">IFERROR(INDIRECT("fixtures!" &amp; Dashboard!J1 &amp;223) - Dashboard!K1/24,"TBC")</f>
        <v>46046.625</v>
      </c>
      <c r="AB30" s="412"/>
      <c r="AC30" s="412" t="s">
        <v>9</v>
      </c>
      <c r="AD30" s="412" t="s">
        <v>93</v>
      </c>
      <c r="AE30" s="418" t="str">
        <f>IF(ISBLANK(fixtures!$K223),"",fixtures!$K223)</f>
        <v/>
      </c>
      <c r="AF30" s="412" t="str">
        <f>IF(ISBLANK(fixtures!$L223),"",":")</f>
        <v/>
      </c>
      <c r="AG30" s="419" t="str">
        <f>IF(ISBLANK(fixtures!$L223),"",fixtures!$L223)</f>
        <v/>
      </c>
      <c r="AH30" s="412" t="str">
        <f>IF(ISBLANK(fixtures!$L223),"",IF(AE30&gt;AG30,"W",IF(AE30=AG30,"D","L")))</f>
        <v/>
      </c>
      <c r="AI30" s="412"/>
      <c r="AJ30" s="412"/>
      <c r="AK30" s="427">
        <v>24</v>
      </c>
      <c r="AL30" s="413" t="s">
        <v>218</v>
      </c>
      <c r="AM30" s="429">
        <f ca="1">IFERROR(INDIRECT("fixtures!" &amp; Dashboard!J1 &amp;224) - Dashboard!K1/24,"TBC")</f>
        <v>46046.625</v>
      </c>
      <c r="AN30" s="413"/>
      <c r="AO30" s="413" t="s">
        <v>188</v>
      </c>
      <c r="AP30" s="413" t="s">
        <v>93</v>
      </c>
      <c r="AQ30" s="427" t="str">
        <f>IF(ISBLANK(fixtures!$K224),"",fixtures!$K224)</f>
        <v/>
      </c>
      <c r="AR30" s="413" t="str">
        <f>IF(ISBLANK(fixtures!$L224),"",":")</f>
        <v/>
      </c>
      <c r="AS30" s="428" t="str">
        <f>IF(ISBLANK(fixtures!$L224),"",fixtures!$L224)</f>
        <v/>
      </c>
      <c r="AT30" s="413" t="str">
        <f>IF(ISBLANK(fixtures!$L224),"",IF(AQ30&gt;AS30,"W",IF(AQ30=AS30,"D","L")))</f>
        <v/>
      </c>
      <c r="AU30" s="413"/>
      <c r="AV30" s="413"/>
      <c r="AW30" s="71">
        <v>24</v>
      </c>
      <c r="AX30" s="9" t="s">
        <v>218</v>
      </c>
      <c r="AY30" s="219">
        <f ca="1">IFERROR(INDIRECT("fixtures!" &amp; Dashboard!J1 &amp;228) - Dashboard!K1/24,"TBC")</f>
        <v>46046.625</v>
      </c>
      <c r="AZ30" s="9"/>
      <c r="BA30" s="9" t="s">
        <v>108</v>
      </c>
      <c r="BB30" s="9" t="s">
        <v>92</v>
      </c>
      <c r="BC30" s="71" t="str">
        <f>IF(ISBLANK(fixtures!$L228),"",fixtures!$L228)</f>
        <v/>
      </c>
      <c r="BD30" s="9" t="str">
        <f>IF(ISBLANK(fixtures!$L228),"",":")</f>
        <v/>
      </c>
      <c r="BE30" s="73" t="str">
        <f>IF(ISBLANK(fixtures!$K228),"",fixtures!$K228)</f>
        <v/>
      </c>
      <c r="BF30" s="9" t="str">
        <f>IF(ISBLANK(fixtures!$L228),"",IF(BC30&gt;BE30,"W",IF(BC30=BE30,"D","L")))</f>
        <v/>
      </c>
      <c r="BG30" s="9"/>
      <c r="BH30" s="9"/>
      <c r="BI30" s="436">
        <v>24</v>
      </c>
      <c r="BJ30" s="414" t="s">
        <v>218</v>
      </c>
      <c r="BK30" s="438">
        <f ca="1">IFERROR(INDIRECT("fixtures!" &amp; Dashboard!J1 &amp;225) - Dashboard!K1/24,"TBC")</f>
        <v>46046.625</v>
      </c>
      <c r="BL30" s="414"/>
      <c r="BM30" s="414" t="s">
        <v>13</v>
      </c>
      <c r="BN30" s="414" t="s">
        <v>93</v>
      </c>
      <c r="BO30" s="436" t="str">
        <f>IF(ISBLANK(fixtures!$K225),"",fixtures!$K225)</f>
        <v/>
      </c>
      <c r="BP30" s="414" t="str">
        <f>IF(ISBLANK(fixtures!$L225),"",":")</f>
        <v/>
      </c>
      <c r="BQ30" s="437" t="str">
        <f>IF(ISBLANK(fixtures!$L225),"",fixtures!$L225)</f>
        <v/>
      </c>
      <c r="BR30" s="414" t="str">
        <f>IF(ISBLANK(fixtures!$L225),"",IF(BO30&gt;BQ30,"W",IF(BO30=BQ30,"D","L")))</f>
        <v/>
      </c>
      <c r="BS30" s="414"/>
      <c r="BT30" s="414"/>
      <c r="BU30" s="146">
        <v>24</v>
      </c>
      <c r="BV30" s="13" t="s">
        <v>218</v>
      </c>
      <c r="BW30" s="225">
        <f ca="1">IFERROR(INDIRECT("fixtures!" &amp; Dashboard!J1 &amp;226) - Dashboard!K1/24,"TBC")</f>
        <v>46046.625</v>
      </c>
      <c r="BX30" s="13"/>
      <c r="BY30" s="13" t="s">
        <v>7</v>
      </c>
      <c r="BZ30" s="13" t="s">
        <v>92</v>
      </c>
      <c r="CA30" s="146" t="str">
        <f>IF(ISBLANK(fixtures!$L226),"",fixtures!$L226)</f>
        <v/>
      </c>
      <c r="CB30" s="13" t="str">
        <f>IF(ISBLANK(fixtures!$L226),"",":")</f>
        <v/>
      </c>
      <c r="CC30" s="148" t="str">
        <f>IF(ISBLANK(fixtures!$K226),"",fixtures!$K226)</f>
        <v/>
      </c>
      <c r="CD30" s="13" t="str">
        <f>IF(ISBLANK(fixtures!$L226),"",IF(CA30&gt;CC30,"W",IF(CA30=CC30,"D","L")))</f>
        <v/>
      </c>
      <c r="CE30" s="13"/>
      <c r="CF30" s="13"/>
      <c r="CG30" s="394">
        <v>24</v>
      </c>
      <c r="CH30" s="14" t="s">
        <v>218</v>
      </c>
      <c r="CI30" s="396">
        <f ca="1">IFERROR(INDIRECT("fixtures!" &amp; Dashboard!J1 &amp;226) - Dashboard!K1/24,"TBC")</f>
        <v>46046.625</v>
      </c>
      <c r="CJ30" s="14"/>
      <c r="CK30" s="14" t="s">
        <v>6</v>
      </c>
      <c r="CL30" s="14" t="s">
        <v>93</v>
      </c>
      <c r="CM30" s="394" t="str">
        <f>IF(ISBLANK(fixtures!$K226),"",fixtures!$K226)</f>
        <v/>
      </c>
      <c r="CN30" s="14" t="str">
        <f>IF(ISBLANK(fixtures!$L226),"",":")</f>
        <v/>
      </c>
      <c r="CO30" s="395" t="str">
        <f>IF(ISBLANK(fixtures!$L226),"",fixtures!$L226)</f>
        <v/>
      </c>
      <c r="CP30" s="14" t="str">
        <f>IF(ISBLANK(fixtures!$L226),"",IF(CM30&gt;CO30,"W",IF(CM30=CO30,"D","L")))</f>
        <v/>
      </c>
      <c r="CQ30" s="14"/>
      <c r="CR30" s="14"/>
      <c r="CS30" s="231">
        <v>24</v>
      </c>
      <c r="CT30" s="17" t="s">
        <v>218</v>
      </c>
      <c r="CU30" s="233">
        <f ca="1">IFERROR(INDIRECT("fixtures!" &amp; Dashboard!J1 &amp;227) - Dashboard!K1/24,"TBC")</f>
        <v>46046.625</v>
      </c>
      <c r="CV30" s="17"/>
      <c r="CW30" s="17" t="s">
        <v>444</v>
      </c>
      <c r="CX30" s="17" t="s">
        <v>93</v>
      </c>
      <c r="CY30" s="231" t="str">
        <f>IF(ISBLANK(fixtures!$K227),"",fixtures!$K227)</f>
        <v/>
      </c>
      <c r="CZ30" s="17" t="str">
        <f>IF(ISBLANK(fixtures!$L227),"",":")</f>
        <v/>
      </c>
      <c r="DA30" s="232" t="str">
        <f>IF(ISBLANK(fixtures!$L227),"",fixtures!$L227)</f>
        <v/>
      </c>
      <c r="DB30" s="17" t="str">
        <f>IF(ISBLANK(fixtures!$L227),"",IF(CY30&gt;DA30,"W",IF(CY30=DA30,"D","L")))</f>
        <v/>
      </c>
      <c r="DC30" s="17"/>
      <c r="DD30" s="17"/>
      <c r="DE30" s="444">
        <v>24</v>
      </c>
      <c r="DF30" s="445" t="s">
        <v>218</v>
      </c>
      <c r="DG30" s="446">
        <f ca="1">IFERROR(INDIRECT("fixtures!" &amp; Dashboard!J1 &amp;228) - Dashboard!K1/24,"TBC")</f>
        <v>46046.625</v>
      </c>
      <c r="DH30" s="143"/>
      <c r="DI30" s="143" t="s">
        <v>4</v>
      </c>
      <c r="DJ30" s="143" t="s">
        <v>93</v>
      </c>
      <c r="DK30" s="444" t="str">
        <f>IF(ISBLANK(fixtures!$K228),"",fixtures!$K228)</f>
        <v/>
      </c>
      <c r="DL30" s="143" t="str">
        <f>IF(ISBLANK(fixtures!$L228),"",":")</f>
        <v/>
      </c>
      <c r="DM30" s="445" t="str">
        <f>IF(ISBLANK(fixtures!$L228),"",fixtures!$L228)</f>
        <v/>
      </c>
      <c r="DN30" s="143" t="str">
        <f>IF(ISBLANK(fixtures!$L228),"",IF(DK30&gt;DM30,"W",IF(DK30=DM30,"D","L")))</f>
        <v/>
      </c>
      <c r="DO30" s="143"/>
      <c r="DP30" s="143"/>
      <c r="DQ30" s="382">
        <v>24</v>
      </c>
      <c r="DR30" s="380" t="s">
        <v>218</v>
      </c>
      <c r="DS30" s="384">
        <f ca="1">IFERROR(INDIRECT("fixtures!" &amp; Dashboard!J1 &amp;227) - Dashboard!K1/24,"TBC")</f>
        <v>46046.625</v>
      </c>
      <c r="DT30" s="380"/>
      <c r="DU30" s="380" t="s">
        <v>8</v>
      </c>
      <c r="DV30" s="380" t="s">
        <v>92</v>
      </c>
      <c r="DW30" s="382" t="str">
        <f>IF(ISBLANK(fixtures!$L227),"",fixtures!$L227)</f>
        <v/>
      </c>
      <c r="DX30" s="380" t="str">
        <f>IF(ISBLANK(fixtures!$L227),"",":")</f>
        <v/>
      </c>
      <c r="DY30" s="383" t="str">
        <f>IF(ISBLANK(fixtures!$K227),"",fixtures!$K227)</f>
        <v/>
      </c>
      <c r="DZ30" s="380" t="str">
        <f>IF(ISBLANK(fixtures!$L227),"",IF(DW30&gt;DY30,"W",IF(DW30=DY30,"D","L")))</f>
        <v/>
      </c>
      <c r="EA30" s="380"/>
      <c r="EB30" s="380"/>
      <c r="EC30" s="207">
        <v>24</v>
      </c>
      <c r="ED30" s="19" t="s">
        <v>218</v>
      </c>
      <c r="EE30" s="239">
        <f ca="1">IFERROR(INDIRECT("fixtures!" &amp; Dashboard!J1 &amp;223) - Dashboard!K1/24,"TBC")</f>
        <v>46046.625</v>
      </c>
      <c r="EF30" s="19"/>
      <c r="EG30" s="19" t="s">
        <v>3</v>
      </c>
      <c r="EH30" s="19" t="s">
        <v>92</v>
      </c>
      <c r="EI30" s="207" t="str">
        <f>IF(ISBLANK(fixtures!$L223),"",fixtures!$L223)</f>
        <v/>
      </c>
      <c r="EJ30" s="19" t="str">
        <f>IF(ISBLANK(fixtures!$L223),"",":")</f>
        <v/>
      </c>
      <c r="EK30" s="209" t="str">
        <f>IF(ISBLANK(fixtures!$K223),"",fixtures!$K223)</f>
        <v/>
      </c>
      <c r="EL30" s="19" t="str">
        <f>IF(ISBLANK(fixtures!$L223),"",IF(EI30&gt;EK30,"W",IF(EI30=EK30,"D","L")))</f>
        <v/>
      </c>
      <c r="EM30" s="19"/>
      <c r="EN30" s="19"/>
      <c r="EO30" s="80">
        <v>24</v>
      </c>
      <c r="EP30" s="21" t="s">
        <v>218</v>
      </c>
      <c r="EQ30" s="245">
        <f ca="1">IFERROR(INDIRECT("fixtures!" &amp; Dashboard!J1 &amp;229) - Dashboard!K1/24,"TBC")</f>
        <v>46046.625</v>
      </c>
      <c r="ER30" s="21"/>
      <c r="ES30" s="21" t="s">
        <v>15</v>
      </c>
      <c r="ET30" s="21" t="s">
        <v>93</v>
      </c>
      <c r="EU30" s="80" t="str">
        <f>IF(ISBLANK(fixtures!$K229),"",fixtures!$K229)</f>
        <v/>
      </c>
      <c r="EV30" s="21" t="str">
        <f>IF(ISBLANK(fixtures!$L229),"",":")</f>
        <v/>
      </c>
      <c r="EW30" s="82" t="str">
        <f>IF(ISBLANK(fixtures!$L229),"",fixtures!$L229)</f>
        <v/>
      </c>
      <c r="EX30" s="21" t="str">
        <f>IF(ISBLANK(fixtures!$L229),"",IF(EU30&gt;EW30,"W",IF(EU30=EW30,"D","L")))</f>
        <v/>
      </c>
      <c r="EY30" s="21"/>
      <c r="EZ30" s="21"/>
      <c r="FA30" s="251">
        <v>24</v>
      </c>
      <c r="FB30" s="23" t="s">
        <v>218</v>
      </c>
      <c r="FC30" s="253">
        <f ca="1">IFERROR(INDIRECT("fixtures!" &amp; Dashboard!J1 &amp;222) - Dashboard!K1/24,"TBC")</f>
        <v>46046.625</v>
      </c>
      <c r="FD30" s="23"/>
      <c r="FE30" s="23" t="s">
        <v>1</v>
      </c>
      <c r="FF30" s="23" t="s">
        <v>92</v>
      </c>
      <c r="FG30" s="251" t="str">
        <f>IF(ISBLANK(fixtures!$L222),"",fixtures!$L222)</f>
        <v/>
      </c>
      <c r="FH30" s="23" t="str">
        <f>IF(ISBLANK(fixtures!$L222),"",":")</f>
        <v/>
      </c>
      <c r="FI30" s="252" t="str">
        <f>IF(ISBLANK(fixtures!$K222),"",fixtures!$K222)</f>
        <v/>
      </c>
      <c r="FJ30" s="23" t="str">
        <f>IF(ISBLANK(fixtures!$L222),"",IF(FG30&gt;FI30,"W",IF(FG30=FI30,"D","L")))</f>
        <v/>
      </c>
      <c r="FK30" s="23"/>
      <c r="FL30" s="23"/>
      <c r="FM30" s="85">
        <v>24</v>
      </c>
      <c r="FN30" s="87" t="s">
        <v>218</v>
      </c>
      <c r="FO30" s="259">
        <f ca="1">IFERROR(INDIRECT("fixtures!" &amp; Dashboard!J1 &amp;230) - Dashboard!K1/24,"TBC")</f>
        <v>46046.625</v>
      </c>
      <c r="FP30" s="25"/>
      <c r="FQ30" s="25" t="s">
        <v>2</v>
      </c>
      <c r="FR30" s="25" t="s">
        <v>93</v>
      </c>
      <c r="FS30" s="85" t="str">
        <f>IF(ISBLANK(fixtures!$K230),"",fixtures!$K230)</f>
        <v/>
      </c>
      <c r="FT30" s="25" t="str">
        <f>IF(ISBLANK(fixtures!$L230),"",":")</f>
        <v/>
      </c>
      <c r="FU30" s="87" t="str">
        <f>IF(ISBLANK(fixtures!$L230),"",fixtures!$L230)</f>
        <v/>
      </c>
      <c r="FV30" s="25" t="str">
        <f>IF(ISBLANK(fixtures!$L230),"",IF(FS30&gt;FU30,"W",IF(FS30=FU30,"D","L")))</f>
        <v/>
      </c>
      <c r="FW30" s="25"/>
      <c r="FX30" s="25"/>
      <c r="FY30" s="402">
        <v>24</v>
      </c>
      <c r="FZ30" s="403" t="s">
        <v>218</v>
      </c>
      <c r="GA30" s="404">
        <f ca="1">IFERROR(INDIRECT("fixtures!" &amp; Dashboard!J1 &amp;224) - Dashboard!K1/24,"TBC")</f>
        <v>46046.625</v>
      </c>
      <c r="GB30" s="390"/>
      <c r="GC30" s="390" t="s">
        <v>107</v>
      </c>
      <c r="GD30" s="390" t="s">
        <v>92</v>
      </c>
      <c r="GE30" s="402" t="str">
        <f>IF(ISBLANK(fixtures!$L224),"",fixtures!$L224)</f>
        <v/>
      </c>
      <c r="GF30" s="390" t="str">
        <f>IF(ISBLANK(fixtures!$L224),"",":")</f>
        <v/>
      </c>
      <c r="GG30" s="403" t="str">
        <f>IF(ISBLANK(fixtures!$K224),"",fixtures!$K224)</f>
        <v/>
      </c>
      <c r="GH30" s="390" t="str">
        <f>IF(ISBLANK(fixtures!$L224),"",IF(GE30&gt;GG30,"W",IF(GE30=GG30,"D","L")))</f>
        <v/>
      </c>
      <c r="GI30" s="390"/>
      <c r="GJ30" s="390"/>
      <c r="GK30" s="89">
        <v>24</v>
      </c>
      <c r="GL30" s="27" t="s">
        <v>218</v>
      </c>
      <c r="GM30" s="266">
        <f ca="1">IFERROR(INDIRECT("fixtures!" &amp; Dashboard!J1 &amp;225) - Dashboard!K1/24,"TBC")</f>
        <v>46046.625</v>
      </c>
      <c r="GN30" s="27"/>
      <c r="GO30" s="27" t="s">
        <v>5</v>
      </c>
      <c r="GP30" s="27" t="s">
        <v>92</v>
      </c>
      <c r="GQ30" s="89" t="str">
        <f>IF(ISBLANK(fixtures!$L225),"",fixtures!$L225)</f>
        <v/>
      </c>
      <c r="GR30" s="27" t="str">
        <f>IF(ISBLANK(fixtures!$L225),"",":")</f>
        <v/>
      </c>
      <c r="GS30" s="90" t="str">
        <f>IF(ISBLANK(fixtures!$K225),"",fixtures!$K225)</f>
        <v/>
      </c>
      <c r="GT30" s="27" t="str">
        <f>IF(ISBLANK(fixtures!$L225),"",IF(GQ30&gt;GS30,"W",IF(GQ30=GS30,"D","L")))</f>
        <v/>
      </c>
      <c r="GU30" s="27"/>
      <c r="GV30" s="27"/>
      <c r="GW30" s="382">
        <v>24</v>
      </c>
      <c r="GX30" s="380" t="s">
        <v>218</v>
      </c>
      <c r="GY30" s="384">
        <f ca="1">IFERROR(INDIRECT("fixtures!" &amp; Dashboard!J1 &amp;231) - Dashboard!K1/24,"TBC")</f>
        <v>46046.625</v>
      </c>
      <c r="GZ30" s="380"/>
      <c r="HA30" s="380" t="s">
        <v>14</v>
      </c>
      <c r="HB30" s="380" t="s">
        <v>92</v>
      </c>
      <c r="HC30" s="382" t="str">
        <f>IF(ISBLANK(fixtures!$L231),"",fixtures!$L231)</f>
        <v/>
      </c>
      <c r="HD30" s="380" t="str">
        <f>IF(ISBLANK(fixtures!$L231),"",":")</f>
        <v/>
      </c>
      <c r="HE30" s="383" t="str">
        <f>IF(ISBLANK(fixtures!$K231),"",fixtures!$K231)</f>
        <v/>
      </c>
      <c r="HF30" s="380" t="str">
        <f>IF(ISBLANK(fixtures!$L231),"",IF(HC30&gt;HE30,"W",IF(HC30=HE30,"D","L")))</f>
        <v/>
      </c>
      <c r="HG30" s="380"/>
      <c r="HH30" s="380"/>
      <c r="HI30" s="92">
        <v>24</v>
      </c>
      <c r="HJ30" s="29" t="s">
        <v>218</v>
      </c>
      <c r="HK30" s="272">
        <f ca="1">IFERROR(INDIRECT("fixtures!" &amp; Dashboard!J1 &amp;231) - Dashboard!K1/24,"TBC")</f>
        <v>46046.625</v>
      </c>
      <c r="HL30" s="29"/>
      <c r="HM30" s="29" t="s">
        <v>443</v>
      </c>
      <c r="HN30" s="29" t="s">
        <v>93</v>
      </c>
      <c r="HO30" s="92" t="str">
        <f>IF(ISBLANK(fixtures!$K231),"",fixtures!$K231)</f>
        <v/>
      </c>
      <c r="HP30" s="29" t="str">
        <f>IF(ISBLANK(fixtures!$L231),"",":")</f>
        <v/>
      </c>
      <c r="HQ30" s="94" t="str">
        <f>IF(ISBLANK(fixtures!$L231),"",fixtures!$L231)</f>
        <v/>
      </c>
      <c r="HR30" s="29" t="str">
        <f>IF(ISBLANK(fixtures!$L231),"",IF(HO30&gt;HQ30,"W",IF(HO30=HQ30,"D","L")))</f>
        <v/>
      </c>
      <c r="HS30" s="29"/>
      <c r="HT30" s="29"/>
      <c r="HU30" s="97">
        <v>24</v>
      </c>
      <c r="HV30" s="31" t="s">
        <v>218</v>
      </c>
      <c r="HW30" s="278">
        <f ca="1">IFERROR(INDIRECT("fixtures!" &amp; Dashboard!J1 &amp;229) - Dashboard!K1/24,"TBC")</f>
        <v>46046.625</v>
      </c>
      <c r="HX30" s="31"/>
      <c r="HY30" s="31" t="s">
        <v>10</v>
      </c>
      <c r="HZ30" s="31" t="s">
        <v>92</v>
      </c>
      <c r="IA30" s="97" t="str">
        <f>IF(ISBLANK(fixtures!$L229),"",fixtures!$L229)</f>
        <v/>
      </c>
      <c r="IB30" s="31" t="str">
        <f>IF(ISBLANK(fixtures!$L229),"",":")</f>
        <v/>
      </c>
      <c r="IC30" s="99" t="str">
        <f>IF(ISBLANK(fixtures!$K229),"",fixtures!$K229)</f>
        <v/>
      </c>
      <c r="ID30" s="31" t="str">
        <f>IF(ISBLANK(fixtures!$L229),"",IF(IA30&gt;IC30,"W",IF(IA30=IC30,"D","L")))</f>
        <v/>
      </c>
      <c r="IE30" s="31"/>
      <c r="IF30" s="31"/>
    </row>
    <row r="31" spans="1:243">
      <c r="A31" s="66">
        <v>31</v>
      </c>
      <c r="B31" s="6" t="s">
        <v>218</v>
      </c>
      <c r="C31" s="214">
        <f ca="1">IFERROR(INDIRECT("fixtures!" &amp; Dashboard!J1 &amp;235) - Dashboard!K1/24,"TBC")</f>
        <v>46053.625</v>
      </c>
      <c r="D31" s="6"/>
      <c r="E31" s="6" t="s">
        <v>444</v>
      </c>
      <c r="F31" s="6" t="s">
        <v>92</v>
      </c>
      <c r="G31" s="66" t="str">
        <f>IF(ISBLANK(fixtures!$L235),"",fixtures!$L235)</f>
        <v/>
      </c>
      <c r="H31" s="6" t="str">
        <f>IF(ISBLANK(fixtures!$L235),"",":")</f>
        <v/>
      </c>
      <c r="I31" s="68" t="str">
        <f>IF(ISBLANK(fixtures!$K235),"",fixtures!$K235)</f>
        <v/>
      </c>
      <c r="J31" s="6" t="str">
        <f>IF(ISBLANK(fixtures!$L235),"",IF(G31&gt;I31,"W",IF(G31=I31,"D","L")))</f>
        <v/>
      </c>
      <c r="K31" s="6"/>
      <c r="L31" s="6"/>
      <c r="M31" s="382">
        <v>31</v>
      </c>
      <c r="N31" s="380" t="s">
        <v>218</v>
      </c>
      <c r="O31" s="384">
        <f ca="1">IFERROR(INDIRECT("fixtures!" &amp; Dashboard!J1 &amp;232) - Dashboard!K1/24,"TBC")</f>
        <v>46053.625</v>
      </c>
      <c r="P31" s="380"/>
      <c r="Q31" s="380" t="s">
        <v>107</v>
      </c>
      <c r="R31" s="380" t="s">
        <v>93</v>
      </c>
      <c r="S31" s="382" t="str">
        <f>IF(ISBLANK(fixtures!$K232),"",fixtures!$K232)</f>
        <v/>
      </c>
      <c r="T31" s="380" t="str">
        <f>IF(ISBLANK(fixtures!$L232),"",":")</f>
        <v/>
      </c>
      <c r="U31" s="383" t="str">
        <f>IF(ISBLANK(fixtures!$L232),"",fixtures!$L232)</f>
        <v/>
      </c>
      <c r="V31" s="380" t="str">
        <f>IF(ISBLANK(fixtures!$L232),"",IF(S31&gt;U31,"W",IF(S31=U31,"D","L")))</f>
        <v/>
      </c>
      <c r="W31" s="380"/>
      <c r="X31" s="380"/>
      <c r="Y31" s="418">
        <v>31</v>
      </c>
      <c r="Z31" s="412" t="s">
        <v>218</v>
      </c>
      <c r="AA31" s="420">
        <f ca="1">IFERROR(INDIRECT("fixtures!" &amp; Dashboard!J1 &amp;241) - Dashboard!K1/24,"TBC")</f>
        <v>46053.625</v>
      </c>
      <c r="AB31" s="412"/>
      <c r="AC31" s="412" t="s">
        <v>15</v>
      </c>
      <c r="AD31" s="412" t="s">
        <v>92</v>
      </c>
      <c r="AE31" s="418" t="str">
        <f>IF(ISBLANK(fixtures!$L241),"",fixtures!$L241)</f>
        <v/>
      </c>
      <c r="AF31" s="412" t="str">
        <f>IF(ISBLANK(fixtures!$L241),"",":")</f>
        <v/>
      </c>
      <c r="AG31" s="419" t="str">
        <f>IF(ISBLANK(fixtures!$K241),"",fixtures!$K241)</f>
        <v/>
      </c>
      <c r="AH31" s="412" t="str">
        <f>IF(ISBLANK(fixtures!$L241),"",IF(AE31&gt;AG31,"W",IF(AE31=AG31,"D","L")))</f>
        <v/>
      </c>
      <c r="AI31" s="412"/>
      <c r="AJ31" s="412"/>
      <c r="AK31" s="427">
        <v>31</v>
      </c>
      <c r="AL31" s="413" t="s">
        <v>218</v>
      </c>
      <c r="AM31" s="429">
        <f ca="1">IFERROR(INDIRECT("fixtures!" &amp; Dashboard!J1 &amp;232) - Dashboard!K1/24,"TBC")</f>
        <v>46053.625</v>
      </c>
      <c r="AN31" s="413"/>
      <c r="AO31" s="413" t="s">
        <v>2</v>
      </c>
      <c r="AP31" s="413" t="s">
        <v>92</v>
      </c>
      <c r="AQ31" s="427" t="str">
        <f>IF(ISBLANK(fixtures!$L232),"",fixtures!$L232)</f>
        <v/>
      </c>
      <c r="AR31" s="413" t="str">
        <f>IF(ISBLANK(fixtures!$L232),"",":")</f>
        <v/>
      </c>
      <c r="AS31" s="428" t="str">
        <f>IF(ISBLANK(fixtures!$K232),"",fixtures!$K232)</f>
        <v/>
      </c>
      <c r="AT31" s="413" t="str">
        <f>IF(ISBLANK(fixtures!$L232),"",IF(AQ31&gt;AS31,"W",IF(AQ31=AS31,"D","L")))</f>
        <v/>
      </c>
      <c r="AU31" s="413"/>
      <c r="AV31" s="413"/>
      <c r="AW31" s="71">
        <v>31</v>
      </c>
      <c r="AX31" s="9" t="s">
        <v>218</v>
      </c>
      <c r="AY31" s="219">
        <f ca="1">IFERROR(INDIRECT("fixtures!" &amp; Dashboard!J1 &amp;233) - Dashboard!K1/24,"TBC")</f>
        <v>46053.625</v>
      </c>
      <c r="AZ31" s="9"/>
      <c r="BA31" s="9" t="s">
        <v>8</v>
      </c>
      <c r="BB31" s="9" t="s">
        <v>93</v>
      </c>
      <c r="BC31" s="71" t="str">
        <f>IF(ISBLANK(fixtures!$K233),"",fixtures!$K233)</f>
        <v/>
      </c>
      <c r="BD31" s="9" t="str">
        <f>IF(ISBLANK(fixtures!$L233),"",":")</f>
        <v/>
      </c>
      <c r="BE31" s="73" t="str">
        <f>IF(ISBLANK(fixtures!$L233),"",fixtures!$L233)</f>
        <v/>
      </c>
      <c r="BF31" s="9" t="str">
        <f>IF(ISBLANK(fixtures!$L233),"",IF(BC31&gt;BE31,"W",IF(BC31=BE31,"D","L")))</f>
        <v/>
      </c>
      <c r="BG31" s="9"/>
      <c r="BH31" s="9"/>
      <c r="BI31" s="436">
        <v>31</v>
      </c>
      <c r="BJ31" s="414" t="s">
        <v>218</v>
      </c>
      <c r="BK31" s="438">
        <f ca="1">IFERROR(INDIRECT("fixtures!" &amp; Dashboard!J1 &amp;240) - Dashboard!K1/24,"TBC")</f>
        <v>46053.625</v>
      </c>
      <c r="BL31" s="414"/>
      <c r="BM31" s="414" t="s">
        <v>443</v>
      </c>
      <c r="BN31" s="414" t="s">
        <v>92</v>
      </c>
      <c r="BO31" s="436" t="str">
        <f>IF(ISBLANK(fixtures!$L240),"",fixtures!$L240)</f>
        <v/>
      </c>
      <c r="BP31" s="414" t="str">
        <f>IF(ISBLANK(fixtures!$L240),"",":")</f>
        <v/>
      </c>
      <c r="BQ31" s="437" t="str">
        <f>IF(ISBLANK(fixtures!$K240),"",fixtures!$K240)</f>
        <v/>
      </c>
      <c r="BR31" s="414" t="str">
        <f>IF(ISBLANK(fixtures!$L240),"",IF(BO31&gt;BQ31,"W",IF(BO31=BQ31,"D","L")))</f>
        <v/>
      </c>
      <c r="BS31" s="414"/>
      <c r="BT31" s="414"/>
      <c r="BU31" s="146">
        <v>31</v>
      </c>
      <c r="BV31" s="13" t="s">
        <v>218</v>
      </c>
      <c r="BW31" s="225">
        <f ca="1">IFERROR(INDIRECT("fixtures!" &amp; Dashboard!J1 &amp;234) - Dashboard!K1/24,"TBC")</f>
        <v>46053.625</v>
      </c>
      <c r="BX31" s="13"/>
      <c r="BY31" s="13" t="s">
        <v>14</v>
      </c>
      <c r="BZ31" s="13" t="s">
        <v>93</v>
      </c>
      <c r="CA31" s="146" t="str">
        <f>IF(ISBLANK(fixtures!$K234),"",fixtures!$K234)</f>
        <v/>
      </c>
      <c r="CB31" s="13" t="str">
        <f>IF(ISBLANK(fixtures!$L234),"",":")</f>
        <v/>
      </c>
      <c r="CC31" s="148" t="str">
        <f>IF(ISBLANK(fixtures!$L234),"",fixtures!$L234)</f>
        <v/>
      </c>
      <c r="CD31" s="13" t="str">
        <f>IF(ISBLANK(fixtures!$L234),"",IF(CA31&gt;CC31,"W",IF(CA31=CC31,"D","L")))</f>
        <v/>
      </c>
      <c r="CE31" s="13"/>
      <c r="CF31" s="13"/>
      <c r="CG31" s="394">
        <v>31</v>
      </c>
      <c r="CH31" s="14" t="s">
        <v>218</v>
      </c>
      <c r="CI31" s="396">
        <f ca="1">IFERROR(INDIRECT("fixtures!" &amp; Dashboard!J1 &amp;238) - Dashboard!K1/24,"TBC")</f>
        <v>46053.625</v>
      </c>
      <c r="CJ31" s="14"/>
      <c r="CK31" s="14" t="s">
        <v>188</v>
      </c>
      <c r="CL31" s="14" t="s">
        <v>92</v>
      </c>
      <c r="CM31" s="394" t="str">
        <f>IF(ISBLANK(fixtures!$L238),"",fixtures!$L238)</f>
        <v/>
      </c>
      <c r="CN31" s="14" t="str">
        <f>IF(ISBLANK(fixtures!$L238),"",":")</f>
        <v/>
      </c>
      <c r="CO31" s="395" t="str">
        <f>IF(ISBLANK(fixtures!$K238),"",fixtures!$K238)</f>
        <v/>
      </c>
      <c r="CP31" s="14" t="str">
        <f>IF(ISBLANK(fixtures!$L238),"",IF(CM31&gt;CO31,"W",IF(CM31=CO31,"D","L")))</f>
        <v/>
      </c>
      <c r="CQ31" s="14"/>
      <c r="CR31" s="14"/>
      <c r="CS31" s="231">
        <v>31</v>
      </c>
      <c r="CT31" s="17" t="s">
        <v>218</v>
      </c>
      <c r="CU31" s="233">
        <f ca="1">IFERROR(INDIRECT("fixtures!" &amp; Dashboard!J1 &amp;233) - Dashboard!K1/24,"TBC")</f>
        <v>46053.625</v>
      </c>
      <c r="CV31" s="17"/>
      <c r="CW31" s="17" t="s">
        <v>4</v>
      </c>
      <c r="CX31" s="17" t="s">
        <v>92</v>
      </c>
      <c r="CY31" s="231" t="str">
        <f>IF(ISBLANK(fixtures!$L233),"",fixtures!$L233)</f>
        <v/>
      </c>
      <c r="CZ31" s="17" t="str">
        <f>IF(ISBLANK(fixtures!$L233),"",":")</f>
        <v/>
      </c>
      <c r="DA31" s="232" t="str">
        <f>IF(ISBLANK(fixtures!$K233),"",fixtures!$K233)</f>
        <v/>
      </c>
      <c r="DB31" s="17" t="str">
        <f>IF(ISBLANK(fixtures!$L233),"",IF(CY31&gt;DA31,"W",IF(CY31=DA31,"D","L")))</f>
        <v/>
      </c>
      <c r="DC31" s="17"/>
      <c r="DD31" s="17"/>
      <c r="DE31" s="444">
        <v>31</v>
      </c>
      <c r="DF31" s="445" t="s">
        <v>218</v>
      </c>
      <c r="DG31" s="446">
        <f ca="1">IFERROR(INDIRECT("fixtures!" &amp; Dashboard!J1 &amp;237) - Dashboard!K1/24,"TBC")</f>
        <v>46053.625</v>
      </c>
      <c r="DH31" s="143"/>
      <c r="DI31" s="143" t="s">
        <v>11</v>
      </c>
      <c r="DJ31" s="143" t="s">
        <v>92</v>
      </c>
      <c r="DK31" s="444" t="str">
        <f>IF(ISBLANK(fixtures!$L237),"",fixtures!$L237)</f>
        <v/>
      </c>
      <c r="DL31" s="143" t="str">
        <f>IF(ISBLANK(fixtures!$L237),"",":")</f>
        <v/>
      </c>
      <c r="DM31" s="445" t="str">
        <f>IF(ISBLANK(fixtures!$K237),"",fixtures!$K237)</f>
        <v/>
      </c>
      <c r="DN31" s="143" t="str">
        <f>IF(ISBLANK(fixtures!$L237),"",IF(DK31&gt;DM31,"W",IF(DK31=DM31,"D","L")))</f>
        <v/>
      </c>
      <c r="DO31" s="143"/>
      <c r="DP31" s="143"/>
      <c r="DQ31" s="382">
        <v>31</v>
      </c>
      <c r="DR31" s="380" t="s">
        <v>218</v>
      </c>
      <c r="DS31" s="384">
        <f ca="1">IFERROR(INDIRECT("fixtures!" &amp; Dashboard!J1 &amp;235) - Dashboard!K1/24,"TBC")</f>
        <v>46053.625</v>
      </c>
      <c r="DT31" s="380"/>
      <c r="DU31" s="380" t="s">
        <v>1</v>
      </c>
      <c r="DV31" s="380" t="s">
        <v>93</v>
      </c>
      <c r="DW31" s="382" t="str">
        <f>IF(ISBLANK(fixtures!$K235),"",fixtures!$K235)</f>
        <v/>
      </c>
      <c r="DX31" s="380" t="str">
        <f>IF(ISBLANK(fixtures!$L235),"",":")</f>
        <v/>
      </c>
      <c r="DY31" s="383" t="str">
        <f>IF(ISBLANK(fixtures!$L235),"",fixtures!$L235)</f>
        <v/>
      </c>
      <c r="DZ31" s="380" t="str">
        <f>IF(ISBLANK(fixtures!$L235),"",IF(DW31&gt;DY31,"W",IF(DW31=DY31,"D","L")))</f>
        <v/>
      </c>
      <c r="EA31" s="380"/>
      <c r="EB31" s="380"/>
      <c r="EC31" s="207">
        <v>31</v>
      </c>
      <c r="ED31" s="19" t="s">
        <v>218</v>
      </c>
      <c r="EE31" s="239">
        <f ca="1">IFERROR(INDIRECT("fixtures!" &amp; Dashboard!J1 &amp;236) - Dashboard!K1/24,"TBC")</f>
        <v>46053.625</v>
      </c>
      <c r="EF31" s="19"/>
      <c r="EG31" s="19" t="s">
        <v>12</v>
      </c>
      <c r="EH31" s="19" t="s">
        <v>93</v>
      </c>
      <c r="EI31" s="207" t="str">
        <f>IF(ISBLANK(fixtures!$K236),"",fixtures!$K236)</f>
        <v/>
      </c>
      <c r="EJ31" s="19" t="str">
        <f>IF(ISBLANK(fixtures!$L236),"",":")</f>
        <v/>
      </c>
      <c r="EK31" s="209" t="str">
        <f>IF(ISBLANK(fixtures!$L236),"",fixtures!$L236)</f>
        <v/>
      </c>
      <c r="EL31" s="19" t="str">
        <f>IF(ISBLANK(fixtures!$L236),"",IF(EI31&gt;EK31,"W",IF(EI31=EK31,"D","L")))</f>
        <v/>
      </c>
      <c r="EM31" s="19"/>
      <c r="EN31" s="19"/>
      <c r="EO31" s="80">
        <v>31</v>
      </c>
      <c r="EP31" s="21" t="s">
        <v>218</v>
      </c>
      <c r="EQ31" s="245">
        <f ca="1">IFERROR(INDIRECT("fixtures!" &amp; Dashboard!J1 &amp;239) - Dashboard!K1/24,"TBC")</f>
        <v>46053.625</v>
      </c>
      <c r="ER31" s="21"/>
      <c r="ES31" s="21" t="s">
        <v>13</v>
      </c>
      <c r="ET31" s="21" t="s">
        <v>92</v>
      </c>
      <c r="EU31" s="80" t="str">
        <f>IF(ISBLANK(fixtures!$L239),"",fixtures!$L239)</f>
        <v/>
      </c>
      <c r="EV31" s="21" t="str">
        <f>IF(ISBLANK(fixtures!$L239),"",":")</f>
        <v/>
      </c>
      <c r="EW31" s="82" t="str">
        <f>IF(ISBLANK(fixtures!$K239),"",fixtures!$K239)</f>
        <v/>
      </c>
      <c r="EX31" s="21" t="str">
        <f>IF(ISBLANK(fixtures!$L239),"",IF(EU31&gt;EW31,"W",IF(EU31=EW31,"D","L")))</f>
        <v/>
      </c>
      <c r="EY31" s="21"/>
      <c r="EZ31" s="21"/>
      <c r="FA31" s="251">
        <v>31</v>
      </c>
      <c r="FB31" s="23" t="s">
        <v>218</v>
      </c>
      <c r="FC31" s="253">
        <f ca="1">IFERROR(INDIRECT("fixtures!" &amp; Dashboard!J1 &amp;237) - Dashboard!K1/24,"TBC")</f>
        <v>46053.625</v>
      </c>
      <c r="FD31" s="23"/>
      <c r="FE31" s="23" t="s">
        <v>108</v>
      </c>
      <c r="FF31" s="23" t="s">
        <v>93</v>
      </c>
      <c r="FG31" s="251" t="str">
        <f>IF(ISBLANK(fixtures!$K237),"",fixtures!$K237)</f>
        <v/>
      </c>
      <c r="FH31" s="23" t="str">
        <f>IF(ISBLANK(fixtures!$L237),"",":")</f>
        <v/>
      </c>
      <c r="FI31" s="252" t="str">
        <f>IF(ISBLANK(fixtures!$L237),"",fixtures!$L237)</f>
        <v/>
      </c>
      <c r="FJ31" s="23" t="str">
        <f>IF(ISBLANK(fixtures!$L237),"",IF(FG31&gt;FI31,"W",IF(FG31=FI31,"D","L")))</f>
        <v/>
      </c>
      <c r="FK31" s="23"/>
      <c r="FL31" s="23"/>
      <c r="FM31" s="85">
        <v>31</v>
      </c>
      <c r="FN31" s="25" t="s">
        <v>218</v>
      </c>
      <c r="FO31" s="259">
        <f ca="1">IFERROR(INDIRECT("fixtures!" &amp; Dashboard!J1 &amp;236) - Dashboard!K1/24,"TBC")</f>
        <v>46053.625</v>
      </c>
      <c r="FP31" s="25"/>
      <c r="FQ31" s="25" t="s">
        <v>9</v>
      </c>
      <c r="FR31" s="25" t="s">
        <v>92</v>
      </c>
      <c r="FS31" s="85" t="str">
        <f>IF(ISBLANK(fixtures!$L236),"",fixtures!$L236)</f>
        <v/>
      </c>
      <c r="FT31" s="25" t="str">
        <f>IF(ISBLANK(fixtures!$L236),"",":")</f>
        <v/>
      </c>
      <c r="FU31" s="87" t="str">
        <f>IF(ISBLANK(fixtures!$K236),"",fixtures!$K236)</f>
        <v/>
      </c>
      <c r="FV31" s="25" t="str">
        <f>IF(ISBLANK(fixtures!$L236),"",IF(FS31&gt;FU31,"W",IF(FS31=FU31,"D","L")))</f>
        <v/>
      </c>
      <c r="FW31" s="25"/>
      <c r="FX31" s="25"/>
      <c r="FY31" s="402">
        <v>31</v>
      </c>
      <c r="FZ31" s="390" t="s">
        <v>218</v>
      </c>
      <c r="GA31" s="404">
        <f ca="1">IFERROR(INDIRECT("fixtures!" &amp; Dashboard!J1 &amp;238) - Dashboard!K1/24,"TBC")</f>
        <v>46053.625</v>
      </c>
      <c r="GB31" s="390"/>
      <c r="GC31" s="390" t="s">
        <v>7</v>
      </c>
      <c r="GD31" s="390" t="s">
        <v>93</v>
      </c>
      <c r="GE31" s="402" t="str">
        <f>IF(ISBLANK(fixtures!$K238),"",fixtures!$K238)</f>
        <v/>
      </c>
      <c r="GF31" s="390" t="str">
        <f>IF(ISBLANK(fixtures!$L238),"",":")</f>
        <v/>
      </c>
      <c r="GG31" s="403" t="str">
        <f>IF(ISBLANK(fixtures!$L238),"",fixtures!$L238)</f>
        <v/>
      </c>
      <c r="GH31" s="390" t="str">
        <f>IF(ISBLANK(fixtures!$L238),"",IF(GE31&gt;GG31,"W",IF(GE31=GG31,"D","L")))</f>
        <v/>
      </c>
      <c r="GI31" s="390"/>
      <c r="GJ31" s="390"/>
      <c r="GK31" s="89">
        <v>31</v>
      </c>
      <c r="GL31" s="27" t="s">
        <v>218</v>
      </c>
      <c r="GM31" s="266">
        <f ca="1">IFERROR(INDIRECT("fixtures!" &amp; Dashboard!J1 &amp;239) - Dashboard!K1/24,"TBC")</f>
        <v>46053.625</v>
      </c>
      <c r="GN31" s="27"/>
      <c r="GO31" s="27" t="s">
        <v>10</v>
      </c>
      <c r="GP31" s="27" t="s">
        <v>93</v>
      </c>
      <c r="GQ31" s="89" t="str">
        <f>IF(ISBLANK(fixtures!$K239),"",fixtures!$K239)</f>
        <v/>
      </c>
      <c r="GR31" s="27" t="str">
        <f>IF(ISBLANK(fixtures!$L239),"",":")</f>
        <v/>
      </c>
      <c r="GS31" s="90" t="str">
        <f>IF(ISBLANK(fixtures!$L239),"",fixtures!$L239)</f>
        <v/>
      </c>
      <c r="GT31" s="27" t="str">
        <f>IF(ISBLANK(fixtures!$L239),"",IF(GQ31&gt;GS31,"W",IF(GQ31=GS31,"D","L")))</f>
        <v/>
      </c>
      <c r="GU31" s="27"/>
      <c r="GV31" s="27"/>
      <c r="GW31" s="382">
        <v>31</v>
      </c>
      <c r="GX31" s="380" t="s">
        <v>218</v>
      </c>
      <c r="GY31" s="384">
        <f ca="1">IFERROR(INDIRECT("fixtures!" &amp; Dashboard!J1 &amp;240) - Dashboard!K1/24,"TBC")</f>
        <v>46053.625</v>
      </c>
      <c r="GZ31" s="380"/>
      <c r="HA31" s="380" t="s">
        <v>5</v>
      </c>
      <c r="HB31" s="380" t="s">
        <v>93</v>
      </c>
      <c r="HC31" s="382" t="str">
        <f>IF(ISBLANK(fixtures!$K240),"",fixtures!$K240)</f>
        <v/>
      </c>
      <c r="HD31" s="380" t="str">
        <f>IF(ISBLANK(fixtures!$L240),"",":")</f>
        <v/>
      </c>
      <c r="HE31" s="383" t="str">
        <f>IF(ISBLANK(fixtures!$L240),"",fixtures!$L240)</f>
        <v/>
      </c>
      <c r="HF31" s="380" t="str">
        <f>IF(ISBLANK(fixtures!$L240),"",IF(HC31&gt;HE31,"W",IF(HC31=HE31,"D","L")))</f>
        <v/>
      </c>
      <c r="HG31" s="380"/>
      <c r="HH31" s="380"/>
      <c r="HI31" s="92">
        <v>31</v>
      </c>
      <c r="HJ31" s="29" t="s">
        <v>218</v>
      </c>
      <c r="HK31" s="272">
        <f ca="1">IFERROR(INDIRECT("fixtures!" &amp; Dashboard!J1 &amp;234) - Dashboard!K1/24,"TBC")</f>
        <v>46053.625</v>
      </c>
      <c r="HL31" s="29"/>
      <c r="HM31" s="29" t="s">
        <v>6</v>
      </c>
      <c r="HN31" s="29" t="s">
        <v>92</v>
      </c>
      <c r="HO31" s="92" t="str">
        <f>IF(ISBLANK(fixtures!$L234),"",fixtures!$L234)</f>
        <v/>
      </c>
      <c r="HP31" s="29" t="str">
        <f>IF(ISBLANK(fixtures!$L234),"",":")</f>
        <v/>
      </c>
      <c r="HQ31" s="94" t="str">
        <f>IF(ISBLANK(fixtures!$K234),"",fixtures!$K234)</f>
        <v/>
      </c>
      <c r="HR31" s="29" t="str">
        <f>IF(ISBLANK(fixtures!$L234),"",IF(HO31&gt;HQ31,"W",IF(HO31=HQ31,"D","L")))</f>
        <v/>
      </c>
      <c r="HS31" s="29"/>
      <c r="HT31" s="29"/>
      <c r="HU31" s="97">
        <v>31</v>
      </c>
      <c r="HV31" s="31" t="s">
        <v>218</v>
      </c>
      <c r="HW31" s="278">
        <f ca="1">IFERROR(INDIRECT("fixtures!" &amp; Dashboard!J1 &amp;241) - Dashboard!K1/24,"TBC")</f>
        <v>46053.625</v>
      </c>
      <c r="HX31" s="31"/>
      <c r="HY31" s="31" t="s">
        <v>3</v>
      </c>
      <c r="HZ31" s="31" t="s">
        <v>93</v>
      </c>
      <c r="IA31" s="97" t="str">
        <f>IF(ISBLANK(fixtures!$K241),"",fixtures!$K241)</f>
        <v/>
      </c>
      <c r="IB31" s="31" t="str">
        <f>IF(ISBLANK(fixtures!$L241),"",":")</f>
        <v/>
      </c>
      <c r="IC31" s="99" t="str">
        <f>IF(ISBLANK(fixtures!$L241),"",fixtures!$L241)</f>
        <v/>
      </c>
      <c r="ID31" s="31" t="str">
        <f>IF(ISBLANK(fixtures!$L241),"",IF(IA31&gt;IC31,"W",IF(IA31=IC31,"D","L")))</f>
        <v/>
      </c>
      <c r="IE31" s="31"/>
      <c r="IF31" s="31"/>
      <c r="II31" s="112"/>
    </row>
    <row r="32" spans="1:243">
      <c r="A32" s="215" t="s">
        <v>22</v>
      </c>
      <c r="B32" s="6"/>
      <c r="C32" s="214"/>
      <c r="D32" s="6"/>
      <c r="E32" s="6"/>
      <c r="F32" s="6"/>
      <c r="G32" s="66"/>
      <c r="H32" s="6"/>
      <c r="I32" s="68"/>
      <c r="J32" s="6"/>
      <c r="K32" s="6"/>
      <c r="L32" s="6"/>
      <c r="M32" s="385" t="s">
        <v>22</v>
      </c>
      <c r="N32" s="380"/>
      <c r="O32" s="384"/>
      <c r="P32" s="380"/>
      <c r="Q32" s="380"/>
      <c r="R32" s="380"/>
      <c r="S32" s="382"/>
      <c r="T32" s="380"/>
      <c r="U32" s="383"/>
      <c r="V32" s="380"/>
      <c r="W32" s="380"/>
      <c r="X32" s="380"/>
      <c r="Y32" s="421" t="s">
        <v>22</v>
      </c>
      <c r="Z32" s="412"/>
      <c r="AA32" s="420"/>
      <c r="AB32" s="412"/>
      <c r="AC32" s="412"/>
      <c r="AD32" s="412"/>
      <c r="AE32" s="418"/>
      <c r="AF32" s="412"/>
      <c r="AG32" s="419"/>
      <c r="AH32" s="412"/>
      <c r="AI32" s="412"/>
      <c r="AJ32" s="412"/>
      <c r="AK32" s="430" t="s">
        <v>22</v>
      </c>
      <c r="AL32" s="428"/>
      <c r="AM32" s="429"/>
      <c r="AN32" s="413"/>
      <c r="AO32" s="413"/>
      <c r="AP32" s="413"/>
      <c r="AQ32" s="427"/>
      <c r="AR32" s="413"/>
      <c r="AS32" s="428"/>
      <c r="AT32" s="413"/>
      <c r="AU32" s="413"/>
      <c r="AV32" s="413"/>
      <c r="AW32" s="220" t="s">
        <v>22</v>
      </c>
      <c r="AX32" s="9"/>
      <c r="AY32" s="219"/>
      <c r="AZ32" s="9"/>
      <c r="BA32" s="9"/>
      <c r="BB32" s="9"/>
      <c r="BC32" s="71"/>
      <c r="BD32" s="9"/>
      <c r="BE32" s="73"/>
      <c r="BF32" s="9"/>
      <c r="BG32" s="9"/>
      <c r="BH32" s="9"/>
      <c r="BI32" s="439" t="s">
        <v>22</v>
      </c>
      <c r="BJ32" s="437"/>
      <c r="BK32" s="438"/>
      <c r="BL32" s="414"/>
      <c r="BM32" s="414"/>
      <c r="BN32" s="414"/>
      <c r="BO32" s="436"/>
      <c r="BP32" s="414"/>
      <c r="BQ32" s="437"/>
      <c r="BR32" s="414"/>
      <c r="BS32" s="414"/>
      <c r="BT32" s="414"/>
      <c r="BU32" s="226" t="s">
        <v>22</v>
      </c>
      <c r="BV32" s="13"/>
      <c r="BW32" s="225"/>
      <c r="BX32" s="13"/>
      <c r="BY32" s="13"/>
      <c r="BZ32" s="13"/>
      <c r="CA32" s="146"/>
      <c r="CB32" s="13"/>
      <c r="CC32" s="148"/>
      <c r="CD32" s="13"/>
      <c r="CE32" s="13"/>
      <c r="CF32" s="13"/>
      <c r="CG32" s="397" t="s">
        <v>22</v>
      </c>
      <c r="CH32" s="14"/>
      <c r="CI32" s="396"/>
      <c r="CJ32" s="14"/>
      <c r="CK32" s="14"/>
      <c r="CL32" s="14"/>
      <c r="CM32" s="394"/>
      <c r="CN32" s="14"/>
      <c r="CO32" s="395"/>
      <c r="CP32" s="14"/>
      <c r="CQ32" s="14"/>
      <c r="CR32" s="14"/>
      <c r="CS32" s="234" t="s">
        <v>22</v>
      </c>
      <c r="CT32" s="17"/>
      <c r="CU32" s="233"/>
      <c r="CV32" s="17"/>
      <c r="CW32" s="17"/>
      <c r="CX32" s="17"/>
      <c r="CY32" s="231"/>
      <c r="CZ32" s="17"/>
      <c r="DA32" s="232"/>
      <c r="DB32" s="17"/>
      <c r="DC32" s="17"/>
      <c r="DD32" s="17"/>
      <c r="DE32" s="447" t="s">
        <v>22</v>
      </c>
      <c r="DF32" s="445"/>
      <c r="DG32" s="446"/>
      <c r="DH32" s="143"/>
      <c r="DI32" s="143"/>
      <c r="DJ32" s="143"/>
      <c r="DK32" s="444"/>
      <c r="DL32" s="143"/>
      <c r="DM32" s="445"/>
      <c r="DN32" s="143"/>
      <c r="DO32" s="143"/>
      <c r="DP32" s="143"/>
      <c r="DQ32" s="385" t="s">
        <v>22</v>
      </c>
      <c r="DR32" s="380"/>
      <c r="DS32" s="384"/>
      <c r="DT32" s="380"/>
      <c r="DU32" s="380"/>
      <c r="DV32" s="380"/>
      <c r="DW32" s="382"/>
      <c r="DX32" s="380"/>
      <c r="DY32" s="383"/>
      <c r="DZ32" s="380"/>
      <c r="EA32" s="380"/>
      <c r="EB32" s="380"/>
      <c r="EC32" s="240" t="s">
        <v>22</v>
      </c>
      <c r="ED32" s="19"/>
      <c r="EE32" s="239"/>
      <c r="EF32" s="19"/>
      <c r="EG32" s="19"/>
      <c r="EH32" s="19"/>
      <c r="EI32" s="207"/>
      <c r="EJ32" s="19"/>
      <c r="EK32" s="209"/>
      <c r="EL32" s="19"/>
      <c r="EM32" s="19"/>
      <c r="EN32" s="19"/>
      <c r="EO32" s="246" t="s">
        <v>22</v>
      </c>
      <c r="EP32" s="21"/>
      <c r="EQ32" s="245"/>
      <c r="ER32" s="21"/>
      <c r="ES32" s="21"/>
      <c r="ET32" s="21"/>
      <c r="EU32" s="80"/>
      <c r="EV32" s="21"/>
      <c r="EW32" s="82"/>
      <c r="EX32" s="21"/>
      <c r="EY32" s="21"/>
      <c r="EZ32" s="21"/>
      <c r="FA32" s="254" t="s">
        <v>22</v>
      </c>
      <c r="FB32" s="23"/>
      <c r="FC32" s="253"/>
      <c r="FD32" s="23"/>
      <c r="FE32" s="23"/>
      <c r="FF32" s="23"/>
      <c r="FG32" s="251"/>
      <c r="FH32" s="23"/>
      <c r="FI32" s="252"/>
      <c r="FJ32" s="23"/>
      <c r="FK32" s="23"/>
      <c r="FL32" s="23"/>
      <c r="FM32" s="260" t="s">
        <v>22</v>
      </c>
      <c r="FN32" s="25"/>
      <c r="FO32" s="259"/>
      <c r="FP32" s="25"/>
      <c r="FQ32" s="25"/>
      <c r="FR32" s="25"/>
      <c r="FS32" s="85"/>
      <c r="FT32" s="25"/>
      <c r="FU32" s="87"/>
      <c r="FV32" s="25"/>
      <c r="FW32" s="25"/>
      <c r="FX32" s="25"/>
      <c r="FY32" s="405" t="s">
        <v>22</v>
      </c>
      <c r="FZ32" s="390"/>
      <c r="GA32" s="404"/>
      <c r="GB32" s="390"/>
      <c r="GC32" s="390"/>
      <c r="GD32" s="390"/>
      <c r="GE32" s="402"/>
      <c r="GF32" s="390"/>
      <c r="GG32" s="403"/>
      <c r="GH32" s="390"/>
      <c r="GI32" s="390"/>
      <c r="GJ32" s="390"/>
      <c r="GK32" s="267" t="s">
        <v>22</v>
      </c>
      <c r="GL32" s="27"/>
      <c r="GM32" s="266"/>
      <c r="GN32" s="27"/>
      <c r="GO32" s="27"/>
      <c r="GP32" s="27"/>
      <c r="GQ32" s="89"/>
      <c r="GR32" s="27"/>
      <c r="GS32" s="90"/>
      <c r="GT32" s="27"/>
      <c r="GU32" s="27"/>
      <c r="GV32" s="27"/>
      <c r="GW32" s="385" t="s">
        <v>22</v>
      </c>
      <c r="GX32" s="380"/>
      <c r="GY32" s="384"/>
      <c r="GZ32" s="380"/>
      <c r="HA32" s="380"/>
      <c r="HB32" s="380"/>
      <c r="HC32" s="382"/>
      <c r="HD32" s="380"/>
      <c r="HE32" s="383"/>
      <c r="HF32" s="380"/>
      <c r="HG32" s="380"/>
      <c r="HH32" s="380"/>
      <c r="HI32" s="273" t="s">
        <v>22</v>
      </c>
      <c r="HJ32" s="29"/>
      <c r="HK32" s="272"/>
      <c r="HL32" s="29"/>
      <c r="HM32" s="29"/>
      <c r="HN32" s="29"/>
      <c r="HO32" s="92"/>
      <c r="HP32" s="29"/>
      <c r="HQ32" s="94"/>
      <c r="HR32" s="29"/>
      <c r="HS32" s="29"/>
      <c r="HT32" s="29"/>
      <c r="HU32" s="279" t="s">
        <v>22</v>
      </c>
      <c r="HV32" s="31"/>
      <c r="HW32" s="278"/>
      <c r="HX32" s="31"/>
      <c r="HY32" s="31"/>
      <c r="HZ32" s="31"/>
      <c r="IA32" s="97"/>
      <c r="IB32" s="31"/>
      <c r="IC32" s="99"/>
      <c r="ID32" s="31"/>
      <c r="IE32" s="31"/>
      <c r="IF32" s="31"/>
      <c r="II32" s="112"/>
    </row>
    <row r="33" spans="1:252">
      <c r="A33" s="66">
        <v>7</v>
      </c>
      <c r="B33" s="6" t="s">
        <v>218</v>
      </c>
      <c r="C33" s="214">
        <f ca="1">IFERROR(INDIRECT("fixtures!" &amp; Dashboard!J1 &amp;242) - Dashboard!K1/24,"TBC")</f>
        <v>46060.625</v>
      </c>
      <c r="D33" s="6"/>
      <c r="E33" s="6" t="s">
        <v>443</v>
      </c>
      <c r="F33" s="6" t="s">
        <v>93</v>
      </c>
      <c r="G33" s="66" t="str">
        <f>IF(ISBLANK(fixtures!$K242),"",fixtures!$K242)</f>
        <v/>
      </c>
      <c r="H33" s="6" t="str">
        <f>IF(ISBLANK(fixtures!$L242),"",":")</f>
        <v/>
      </c>
      <c r="I33" s="68" t="str">
        <f>IF(ISBLANK(fixtures!$L242),"",fixtures!$L242)</f>
        <v/>
      </c>
      <c r="J33" s="6" t="str">
        <f>IF(ISBLANK(fixtures!$L242),"",IF(G33&gt;I33,"W",IF(G33=I33,"D","L")))</f>
        <v/>
      </c>
      <c r="K33" s="6"/>
      <c r="L33" s="6"/>
      <c r="M33" s="382">
        <v>7</v>
      </c>
      <c r="N33" s="380" t="s">
        <v>218</v>
      </c>
      <c r="O33" s="384">
        <f ca="1">IFERROR(INDIRECT("fixtures!" &amp; Dashboard!J1 &amp;243) - Dashboard!K1/24,"TBC")</f>
        <v>46060.625</v>
      </c>
      <c r="P33" s="380"/>
      <c r="Q33" s="380" t="s">
        <v>3</v>
      </c>
      <c r="R33" s="380" t="s">
        <v>92</v>
      </c>
      <c r="S33" s="382" t="str">
        <f>IF(ISBLANK(fixtures!$L243),"",fixtures!$L243)</f>
        <v/>
      </c>
      <c r="T33" s="380" t="str">
        <f>IF(ISBLANK(fixtures!$L243),"",":")</f>
        <v/>
      </c>
      <c r="U33" s="383" t="str">
        <f>IF(ISBLANK(fixtures!$K243),"",fixtures!$K243)</f>
        <v/>
      </c>
      <c r="V33" s="380" t="str">
        <f>IF(ISBLANK(fixtures!$L243),"",IF(S33&gt;U33,"W",IF(S33=U33,"D","L")))</f>
        <v/>
      </c>
      <c r="W33" s="380"/>
      <c r="X33" s="380"/>
      <c r="Y33" s="418">
        <v>7</v>
      </c>
      <c r="Z33" s="412" t="s">
        <v>218</v>
      </c>
      <c r="AA33" s="420">
        <f ca="1">IFERROR(INDIRECT("fixtures!" &amp; Dashboard!J1 &amp;243) - Dashboard!K1/24,"TBC")</f>
        <v>46060.625</v>
      </c>
      <c r="AB33" s="412"/>
      <c r="AC33" s="412" t="s">
        <v>2</v>
      </c>
      <c r="AD33" s="412" t="s">
        <v>93</v>
      </c>
      <c r="AE33" s="418" t="str">
        <f>IF(ISBLANK(fixtures!$K243),"",fixtures!$K243)</f>
        <v/>
      </c>
      <c r="AF33" s="412" t="str">
        <f>IF(ISBLANK(fixtures!$L243),"",":")</f>
        <v/>
      </c>
      <c r="AG33" s="419" t="str">
        <f>IF(ISBLANK(fixtures!$L243),"",fixtures!$L243)</f>
        <v/>
      </c>
      <c r="AH33" s="412" t="str">
        <f>IF(ISBLANK(fixtures!$L243),"",IF(AE33&gt;AG33,"W",IF(AE33=AG33,"D","L")))</f>
        <v/>
      </c>
      <c r="AI33" s="412"/>
      <c r="AJ33" s="412"/>
      <c r="AK33" s="427">
        <v>7</v>
      </c>
      <c r="AL33" s="413" t="s">
        <v>218</v>
      </c>
      <c r="AM33" s="429">
        <f ca="1">IFERROR(INDIRECT("fixtures!" &amp; Dashboard!J1 &amp;250) - Dashboard!K1/24,"TBC")</f>
        <v>46060.625</v>
      </c>
      <c r="AN33" s="413"/>
      <c r="AO33" s="413" t="s">
        <v>12</v>
      </c>
      <c r="AP33" s="413" t="s">
        <v>92</v>
      </c>
      <c r="AQ33" s="427" t="str">
        <f>IF(ISBLANK(fixtures!$L250),"",fixtures!$L250)</f>
        <v/>
      </c>
      <c r="AR33" s="413" t="str">
        <f>IF(ISBLANK(fixtures!$L250),"",":")</f>
        <v/>
      </c>
      <c r="AS33" s="428" t="str">
        <f>IF(ISBLANK(fixtures!$K250),"",fixtures!$K250)</f>
        <v/>
      </c>
      <c r="AT33" s="413" t="str">
        <f>IF(ISBLANK(fixtures!$L250),"",IF(AQ33&gt;AS33,"W",IF(AQ33=AS33,"D","L")))</f>
        <v/>
      </c>
      <c r="AU33" s="413"/>
      <c r="AV33" s="413"/>
      <c r="AW33" s="71">
        <v>7</v>
      </c>
      <c r="AX33" s="9" t="s">
        <v>218</v>
      </c>
      <c r="AY33" s="219">
        <f ca="1">IFERROR(INDIRECT("fixtures!" &amp; Dashboard!J1 &amp;244) - Dashboard!K1/24,"TBC")</f>
        <v>46060.625</v>
      </c>
      <c r="AZ33" s="9"/>
      <c r="BA33" s="9" t="s">
        <v>7</v>
      </c>
      <c r="BB33" s="9" t="s">
        <v>93</v>
      </c>
      <c r="BC33" s="71" t="str">
        <f>IF(ISBLANK(fixtures!$K244),"",fixtures!$K244)</f>
        <v/>
      </c>
      <c r="BD33" s="9" t="str">
        <f>IF(ISBLANK(fixtures!$L244),"",":")</f>
        <v/>
      </c>
      <c r="BE33" s="73" t="str">
        <f>IF(ISBLANK(fixtures!$L244),"",fixtures!$L244)</f>
        <v/>
      </c>
      <c r="BF33" s="9" t="str">
        <f>IF(ISBLANK(fixtures!$L244),"",IF(BC33&gt;BE33,"W",IF(BC33=BE33,"D","L")))</f>
        <v/>
      </c>
      <c r="BG33" s="9"/>
      <c r="BH33" s="9"/>
      <c r="BI33" s="436">
        <v>7</v>
      </c>
      <c r="BJ33" s="437" t="s">
        <v>218</v>
      </c>
      <c r="BK33" s="438">
        <f ca="1">IFERROR(INDIRECT("fixtures!" &amp; Dashboard!J1 &amp;245) - Dashboard!K1/24,"TBC")</f>
        <v>46060.625</v>
      </c>
      <c r="BL33" s="414"/>
      <c r="BM33" s="414" t="s">
        <v>14</v>
      </c>
      <c r="BN33" s="414" t="s">
        <v>93</v>
      </c>
      <c r="BO33" s="436" t="str">
        <f>IF(ISBLANK(fixtures!$K245),"",fixtures!$K245)</f>
        <v/>
      </c>
      <c r="BP33" s="414" t="str">
        <f>IF(ISBLANK(fixtures!$L245),"",":")</f>
        <v/>
      </c>
      <c r="BQ33" s="437" t="str">
        <f>IF(ISBLANK(fixtures!$L245),"",fixtures!$L245)</f>
        <v/>
      </c>
      <c r="BR33" s="414" t="str">
        <f>IF(ISBLANK(fixtures!$L245),"",IF(BO33&gt;BQ33,"W",IF(BO33=BQ33,"D","L")))</f>
        <v/>
      </c>
      <c r="BS33" s="414"/>
      <c r="BT33" s="414"/>
      <c r="BU33" s="146">
        <v>7</v>
      </c>
      <c r="BV33" s="13" t="s">
        <v>218</v>
      </c>
      <c r="BW33" s="225">
        <f ca="1">IFERROR(INDIRECT("fixtures!" &amp; Dashboard!J1 &amp;251) - Dashboard!K1/24,"TBC")</f>
        <v>46060.625</v>
      </c>
      <c r="BX33" s="13"/>
      <c r="BY33" s="13" t="s">
        <v>15</v>
      </c>
      <c r="BZ33" s="13" t="s">
        <v>92</v>
      </c>
      <c r="CA33" s="146" t="str">
        <f>IF(ISBLANK(fixtures!$L251),"",fixtures!$L251)</f>
        <v/>
      </c>
      <c r="CB33" s="13" t="str">
        <f>IF(ISBLANK(fixtures!$L251),"",":")</f>
        <v/>
      </c>
      <c r="CC33" s="148" t="str">
        <f>IF(ISBLANK(fixtures!$K251),"",fixtures!$K251)</f>
        <v/>
      </c>
      <c r="CD33" s="13" t="str">
        <f>IF(ISBLANK(fixtures!$L251),"",IF(CA33&gt;CC33,"W",IF(CA33=CC33,"D","L")))</f>
        <v/>
      </c>
      <c r="CE33" s="13"/>
      <c r="CF33" s="13"/>
      <c r="CG33" s="394">
        <v>7</v>
      </c>
      <c r="CH33" s="14" t="s">
        <v>218</v>
      </c>
      <c r="CI33" s="396">
        <f ca="1">IFERROR(INDIRECT("fixtures!" &amp; Dashboard!J1 &amp;244) - Dashboard!K1/24,"TBC")</f>
        <v>46060.625</v>
      </c>
      <c r="CJ33" s="14"/>
      <c r="CK33" s="14" t="s">
        <v>4</v>
      </c>
      <c r="CL33" s="14" t="s">
        <v>92</v>
      </c>
      <c r="CM33" s="394" t="str">
        <f>IF(ISBLANK(fixtures!$L244),"",fixtures!$L244)</f>
        <v/>
      </c>
      <c r="CN33" s="14" t="str">
        <f>IF(ISBLANK(fixtures!$L244),"",":")</f>
        <v/>
      </c>
      <c r="CO33" s="395" t="str">
        <f>IF(ISBLANK(fixtures!$K244),"",fixtures!$K244)</f>
        <v/>
      </c>
      <c r="CP33" s="14" t="str">
        <f>IF(ISBLANK(fixtures!$L244),"",IF(CM33&gt;CO33,"W",IF(CM33=CO33,"D","L")))</f>
        <v/>
      </c>
      <c r="CQ33" s="14"/>
      <c r="CR33" s="14"/>
      <c r="CS33" s="231">
        <v>7</v>
      </c>
      <c r="CT33" s="17" t="s">
        <v>218</v>
      </c>
      <c r="CU33" s="233">
        <f ca="1">IFERROR(INDIRECT("fixtures!" &amp; Dashboard!J1 &amp;246) - Dashboard!K1/24,"TBC")</f>
        <v>46060.625</v>
      </c>
      <c r="CV33" s="17"/>
      <c r="CW33" s="17" t="s">
        <v>108</v>
      </c>
      <c r="CX33" s="17" t="s">
        <v>92</v>
      </c>
      <c r="CY33" s="231" t="str">
        <f>IF(ISBLANK(fixtures!$L246),"",fixtures!$L246)</f>
        <v/>
      </c>
      <c r="CZ33" s="17" t="str">
        <f>IF(ISBLANK(fixtures!$L246),"",":")</f>
        <v/>
      </c>
      <c r="DA33" s="232" t="str">
        <f>IF(ISBLANK(fixtures!$K246),"",fixtures!$K246)</f>
        <v/>
      </c>
      <c r="DB33" s="17" t="str">
        <f>IF(ISBLANK(fixtures!$L246),"",IF(CY33&gt;DA33,"W",IF(CY33=DA33,"D","L")))</f>
        <v/>
      </c>
      <c r="DC33" s="17"/>
      <c r="DD33" s="17"/>
      <c r="DE33" s="444">
        <v>7</v>
      </c>
      <c r="DF33" s="143" t="s">
        <v>218</v>
      </c>
      <c r="DG33" s="446">
        <f ca="1">IFERROR(INDIRECT("fixtures!" &amp; Dashboard!J1 &amp;246) - Dashboard!K1/24,"TBC")</f>
        <v>46060.625</v>
      </c>
      <c r="DH33" s="143"/>
      <c r="DI33" s="143" t="s">
        <v>8</v>
      </c>
      <c r="DJ33" s="143" t="s">
        <v>93</v>
      </c>
      <c r="DK33" s="444" t="str">
        <f>IF(ISBLANK(fixtures!$K246),"",fixtures!$K246)</f>
        <v/>
      </c>
      <c r="DL33" s="143" t="str">
        <f>IF(ISBLANK(fixtures!$L246),"",":")</f>
        <v/>
      </c>
      <c r="DM33" s="445" t="str">
        <f>IF(ISBLANK(fixtures!$L246),"",fixtures!$L246)</f>
        <v/>
      </c>
      <c r="DN33" s="143" t="str">
        <f>IF(ISBLANK(fixtures!$L246),"",IF(DK33&gt;DM33,"W",IF(DK33=DM33,"D","L")))</f>
        <v/>
      </c>
      <c r="DO33" s="143"/>
      <c r="DP33" s="143"/>
      <c r="DQ33" s="382">
        <v>7</v>
      </c>
      <c r="DR33" s="380" t="s">
        <v>218</v>
      </c>
      <c r="DS33" s="384">
        <f ca="1">IFERROR(INDIRECT("fixtures!" &amp; Dashboard!J1 &amp;247) - Dashboard!K1/24,"TBC")</f>
        <v>46060.625</v>
      </c>
      <c r="DT33" s="380"/>
      <c r="DU33" s="380" t="s">
        <v>188</v>
      </c>
      <c r="DV33" s="380" t="s">
        <v>93</v>
      </c>
      <c r="DW33" s="382" t="str">
        <f>IF(ISBLANK(fixtures!$K247),"",fixtures!$K247)</f>
        <v/>
      </c>
      <c r="DX33" s="380" t="str">
        <f>IF(ISBLANK(fixtures!$L247),"",":")</f>
        <v/>
      </c>
      <c r="DY33" s="383" t="str">
        <f>IF(ISBLANK(fixtures!$L247),"",fixtures!$L247)</f>
        <v/>
      </c>
      <c r="DZ33" s="380" t="str">
        <f>IF(ISBLANK(fixtures!$L247),"",IF(DW33&gt;DY33,"W",IF(DW33=DY33,"D","L")))</f>
        <v/>
      </c>
      <c r="EA33" s="380"/>
      <c r="EB33" s="380"/>
      <c r="EC33" s="207">
        <v>7</v>
      </c>
      <c r="ED33" s="19" t="s">
        <v>218</v>
      </c>
      <c r="EE33" s="239">
        <f ca="1">IFERROR(INDIRECT("fixtures!" &amp; Dashboard!J1 &amp;248) - Dashboard!K1/24,"TBC")</f>
        <v>46060.625</v>
      </c>
      <c r="EF33" s="19"/>
      <c r="EG33" s="19" t="s">
        <v>10</v>
      </c>
      <c r="EH33" s="19" t="s">
        <v>93</v>
      </c>
      <c r="EI33" s="207" t="str">
        <f>IF(ISBLANK(fixtures!$K248),"",fixtures!$K248)</f>
        <v/>
      </c>
      <c r="EJ33" s="19" t="str">
        <f>IF(ISBLANK(fixtures!$L248),"",":")</f>
        <v/>
      </c>
      <c r="EK33" s="209" t="str">
        <f>IF(ISBLANK(fixtures!$L248),"",fixtures!$L248)</f>
        <v/>
      </c>
      <c r="EL33" s="19" t="str">
        <f>IF(ISBLANK(fixtures!$L248),"",IF(EI33&gt;EK33,"W",IF(EI33=EK33,"D","L")))</f>
        <v/>
      </c>
      <c r="EM33" s="19"/>
      <c r="EN33" s="19"/>
      <c r="EO33" s="80">
        <v>7</v>
      </c>
      <c r="EP33" s="21" t="s">
        <v>218</v>
      </c>
      <c r="EQ33" s="245">
        <f ca="1">IFERROR(INDIRECT("fixtures!" &amp; Dashboard!J1 &amp;248) - Dashboard!K1/24,"TBC")</f>
        <v>46060.625</v>
      </c>
      <c r="ER33" s="21"/>
      <c r="ES33" s="21" t="s">
        <v>9</v>
      </c>
      <c r="ET33" s="21" t="s">
        <v>92</v>
      </c>
      <c r="EU33" s="80" t="str">
        <f>IF(ISBLANK(fixtures!$L248),"",fixtures!$L248)</f>
        <v/>
      </c>
      <c r="EV33" s="21" t="str">
        <f>IF(ISBLANK(fixtures!$L248),"",":")</f>
        <v/>
      </c>
      <c r="EW33" s="82" t="str">
        <f>IF(ISBLANK(fixtures!$K248),"",fixtures!$K248)</f>
        <v/>
      </c>
      <c r="EX33" s="21" t="str">
        <f>IF(ISBLANK(fixtures!$L248),"",IF(EU33&gt;EW33,"W",IF(EU33=EW33,"D","L")))</f>
        <v/>
      </c>
      <c r="EY33" s="21"/>
      <c r="EZ33" s="21"/>
      <c r="FA33" s="251">
        <v>7</v>
      </c>
      <c r="FB33" s="23" t="s">
        <v>218</v>
      </c>
      <c r="FC33" s="253">
        <f ca="1">IFERROR(INDIRECT("fixtures!" &amp; Dashboard!J1 &amp;249) - Dashboard!K1/24,"TBC")</f>
        <v>46060.625</v>
      </c>
      <c r="FD33" s="23"/>
      <c r="FE33" s="23" t="s">
        <v>13</v>
      </c>
      <c r="FF33" s="23" t="s">
        <v>93</v>
      </c>
      <c r="FG33" s="251" t="str">
        <f>IF(ISBLANK(fixtures!$K249),"",fixtures!$K249)</f>
        <v/>
      </c>
      <c r="FH33" s="23" t="str">
        <f>IF(ISBLANK(fixtures!$L249),"",":")</f>
        <v/>
      </c>
      <c r="FI33" s="252" t="str">
        <f>IF(ISBLANK(fixtures!$L249),"",fixtures!$L249)</f>
        <v/>
      </c>
      <c r="FJ33" s="23" t="str">
        <f>IF(ISBLANK(fixtures!$L249),"",IF(FG33&gt;FI33,"W",IF(FG33=FI33,"D","L")))</f>
        <v/>
      </c>
      <c r="FK33" s="23"/>
      <c r="FL33" s="23"/>
      <c r="FM33" s="85">
        <v>7</v>
      </c>
      <c r="FN33" s="25" t="s">
        <v>218</v>
      </c>
      <c r="FO33" s="259">
        <f ca="1">IFERROR(INDIRECT("fixtures!" &amp; Dashboard!J1 &amp;250) - Dashboard!K1/24,"TBC")</f>
        <v>46060.625</v>
      </c>
      <c r="FP33" s="25"/>
      <c r="FQ33" s="25" t="s">
        <v>107</v>
      </c>
      <c r="FR33" s="25" t="s">
        <v>93</v>
      </c>
      <c r="FS33" s="85" t="str">
        <f>IF(ISBLANK(fixtures!$K250),"",fixtures!$K250)</f>
        <v/>
      </c>
      <c r="FT33" s="25" t="str">
        <f>IF(ISBLANK(fixtures!$L250),"",":")</f>
        <v/>
      </c>
      <c r="FU33" s="87" t="str">
        <f>IF(ISBLANK(fixtures!$L250),"",fixtures!$L250)</f>
        <v/>
      </c>
      <c r="FV33" s="25" t="str">
        <f>IF(ISBLANK(fixtures!$L250),"",IF(FS33&gt;FU33,"W",IF(FS33=FU33,"D","L")))</f>
        <v/>
      </c>
      <c r="FW33" s="25"/>
      <c r="FX33" s="25"/>
      <c r="FY33" s="402">
        <v>7</v>
      </c>
      <c r="FZ33" s="390" t="s">
        <v>218</v>
      </c>
      <c r="GA33" s="404">
        <f ca="1">IFERROR(INDIRECT("fixtures!" &amp; Dashboard!J1 &amp;247) - Dashboard!K1/24,"TBC")</f>
        <v>46060.625</v>
      </c>
      <c r="GB33" s="390"/>
      <c r="GC33" s="390" t="s">
        <v>444</v>
      </c>
      <c r="GD33" s="390" t="s">
        <v>92</v>
      </c>
      <c r="GE33" s="402" t="str">
        <f>IF(ISBLANK(fixtures!$L247),"",fixtures!$L247)</f>
        <v/>
      </c>
      <c r="GF33" s="390" t="str">
        <f>IF(ISBLANK(fixtures!$L247),"",":")</f>
        <v/>
      </c>
      <c r="GG33" s="403" t="str">
        <f>IF(ISBLANK(fixtures!$K247),"",fixtures!$K247)</f>
        <v/>
      </c>
      <c r="GH33" s="390" t="str">
        <f>IF(ISBLANK(fixtures!$L247),"",IF(GE33&gt;GG33,"W",IF(GE33=GG33,"D","L")))</f>
        <v/>
      </c>
      <c r="GI33" s="390"/>
      <c r="GJ33" s="390"/>
      <c r="GK33" s="89">
        <v>7</v>
      </c>
      <c r="GL33" s="27" t="s">
        <v>218</v>
      </c>
      <c r="GM33" s="266">
        <f ca="1">IFERROR(INDIRECT("fixtures!" &amp; Dashboard!J1 &amp;249) - Dashboard!K1/24,"TBC")</f>
        <v>46060.625</v>
      </c>
      <c r="GN33" s="27"/>
      <c r="GO33" s="27" t="s">
        <v>11</v>
      </c>
      <c r="GP33" s="27" t="s">
        <v>92</v>
      </c>
      <c r="GQ33" s="89" t="str">
        <f>IF(ISBLANK(fixtures!$L249),"",fixtures!$L249)</f>
        <v/>
      </c>
      <c r="GR33" s="27" t="str">
        <f>IF(ISBLANK(fixtures!$L249),"",":")</f>
        <v/>
      </c>
      <c r="GS33" s="90" t="str">
        <f>IF(ISBLANK(fixtures!$K249),"",fixtures!$K249)</f>
        <v/>
      </c>
      <c r="GT33" s="27" t="str">
        <f>IF(ISBLANK(fixtures!$L249),"",IF(GQ33&gt;GS33,"W",IF(GQ33=GS33,"D","L")))</f>
        <v/>
      </c>
      <c r="GU33" s="27"/>
      <c r="GV33" s="27"/>
      <c r="GW33" s="382">
        <v>7</v>
      </c>
      <c r="GX33" s="380" t="s">
        <v>218</v>
      </c>
      <c r="GY33" s="384">
        <f ca="1">IFERROR(INDIRECT("fixtures!" &amp; Dashboard!J1 &amp;242) - Dashboard!K1/24,"TBC")</f>
        <v>46060.625</v>
      </c>
      <c r="GZ33" s="380"/>
      <c r="HA33" s="380" t="s">
        <v>1</v>
      </c>
      <c r="HB33" s="380" t="s">
        <v>92</v>
      </c>
      <c r="HC33" s="382" t="str">
        <f>IF(ISBLANK(fixtures!$L242),"",fixtures!$L242)</f>
        <v/>
      </c>
      <c r="HD33" s="380" t="str">
        <f>IF(ISBLANK(fixtures!$L242),"",":")</f>
        <v/>
      </c>
      <c r="HE33" s="383" t="str">
        <f>IF(ISBLANK(fixtures!$K242),"",fixtures!$K242)</f>
        <v/>
      </c>
      <c r="HF33" s="380" t="str">
        <f>IF(ISBLANK(fixtures!$L242),"",IF(HC33&gt;HE33,"W",IF(HC33=HE33,"D","L")))</f>
        <v/>
      </c>
      <c r="HG33" s="380"/>
      <c r="HH33" s="380"/>
      <c r="HI33" s="92">
        <v>7</v>
      </c>
      <c r="HJ33" s="29" t="s">
        <v>218</v>
      </c>
      <c r="HK33" s="272">
        <f ca="1">IFERROR(INDIRECT("fixtures!" &amp; Dashboard!J1 &amp;245) - Dashboard!K1/24,"TBC")</f>
        <v>46060.625</v>
      </c>
      <c r="HL33" s="29"/>
      <c r="HM33" s="29" t="s">
        <v>5</v>
      </c>
      <c r="HN33" s="29" t="s">
        <v>92</v>
      </c>
      <c r="HO33" s="92" t="str">
        <f>IF(ISBLANK(fixtures!$L245),"",fixtures!$L245)</f>
        <v/>
      </c>
      <c r="HP33" s="29" t="str">
        <f>IF(ISBLANK(fixtures!$L245),"",":")</f>
        <v/>
      </c>
      <c r="HQ33" s="94" t="str">
        <f>IF(ISBLANK(fixtures!$K245),"",fixtures!$K245)</f>
        <v/>
      </c>
      <c r="HR33" s="29" t="str">
        <f>IF(ISBLANK(fixtures!$L245),"",IF(HO33&gt;HQ33,"W",IF(HO33=HQ33,"D","L")))</f>
        <v/>
      </c>
      <c r="HS33" s="29"/>
      <c r="HT33" s="29"/>
      <c r="HU33" s="97">
        <v>7</v>
      </c>
      <c r="HV33" s="31" t="s">
        <v>218</v>
      </c>
      <c r="HW33" s="278">
        <f ca="1">IFERROR(INDIRECT("fixtures!" &amp; Dashboard!J1 &amp;251) - Dashboard!K1/24,"TBC")</f>
        <v>46060.625</v>
      </c>
      <c r="HX33" s="31"/>
      <c r="HY33" s="31" t="s">
        <v>6</v>
      </c>
      <c r="HZ33" s="31" t="s">
        <v>93</v>
      </c>
      <c r="IA33" s="97" t="str">
        <f>IF(ISBLANK(fixtures!$K251),"",fixtures!$K251)</f>
        <v/>
      </c>
      <c r="IB33" s="31" t="str">
        <f>IF(ISBLANK(fixtures!$L251),"",":")</f>
        <v/>
      </c>
      <c r="IC33" s="99" t="str">
        <f>IF(ISBLANK(fixtures!$L251),"",fixtures!$L251)</f>
        <v/>
      </c>
      <c r="ID33" s="31" t="str">
        <f>IF(ISBLANK(fixtures!$L251),"",IF(IA33&gt;IC33,"W",IF(IA33=IC33,"D","L")))</f>
        <v/>
      </c>
      <c r="IE33" s="31"/>
      <c r="IF33" s="31"/>
    </row>
    <row r="34" spans="1:252">
      <c r="A34" s="66">
        <v>11</v>
      </c>
      <c r="B34" s="68" t="s">
        <v>439</v>
      </c>
      <c r="C34" s="214">
        <f ca="1">IFERROR(INDIRECT("fixtures!" &amp; Dashboard!J1 &amp;253) - Dashboard!K1/24,"TBC")</f>
        <v>46064.833333333336</v>
      </c>
      <c r="D34" s="6"/>
      <c r="E34" s="6" t="s">
        <v>107</v>
      </c>
      <c r="F34" s="6" t="s">
        <v>92</v>
      </c>
      <c r="G34" s="66" t="str">
        <f>IF(ISBLANK(fixtures!$L253),"",fixtures!$L253)</f>
        <v/>
      </c>
      <c r="H34" s="6" t="str">
        <f>IF(ISBLANK(fixtures!$L253),"",":")</f>
        <v/>
      </c>
      <c r="I34" s="68" t="str">
        <f>IF(ISBLANK(fixtures!$K253),"",fixtures!$K253)</f>
        <v/>
      </c>
      <c r="J34" s="6" t="str">
        <f>IF(ISBLANK(fixtures!$L253),"",IF(G34&gt;I34,"W",IF(G34=I34,"D","L")))</f>
        <v/>
      </c>
      <c r="K34" s="6"/>
      <c r="L34" s="6"/>
      <c r="M34" s="382">
        <v>11</v>
      </c>
      <c r="N34" s="380" t="s">
        <v>439</v>
      </c>
      <c r="O34" s="384">
        <f ca="1">IFERROR(INDIRECT("fixtures!" &amp; Dashboard!J1 &amp;252) - Dashboard!K1/24,"TBC")</f>
        <v>46064.833333333336</v>
      </c>
      <c r="P34" s="380"/>
      <c r="Q34" s="380" t="s">
        <v>4</v>
      </c>
      <c r="R34" s="380" t="s">
        <v>93</v>
      </c>
      <c r="S34" s="382" t="str">
        <f>IF(ISBLANK(fixtures!$K252),"",fixtures!$K252)</f>
        <v/>
      </c>
      <c r="T34" s="380" t="str">
        <f>IF(ISBLANK(fixtures!$L252),"",":")</f>
        <v/>
      </c>
      <c r="U34" s="383" t="str">
        <f>IF(ISBLANK(fixtures!$L252),"",fixtures!$L252)</f>
        <v/>
      </c>
      <c r="V34" s="380" t="str">
        <f>IF(ISBLANK(fixtures!$L252),"",IF(S34&gt;U34,"W",IF(S34=U34,"D","L")))</f>
        <v/>
      </c>
      <c r="W34" s="380"/>
      <c r="X34" s="380"/>
      <c r="Y34" s="418">
        <v>11</v>
      </c>
      <c r="Z34" s="412" t="s">
        <v>439</v>
      </c>
      <c r="AA34" s="420">
        <f ca="1">IFERROR(INDIRECT("fixtures!" &amp; Dashboard!J1 &amp;256) - Dashboard!K1/24,"TBC")</f>
        <v>46064.833333333336</v>
      </c>
      <c r="AB34" s="412"/>
      <c r="AC34" s="412" t="s">
        <v>8</v>
      </c>
      <c r="AD34" s="412" t="s">
        <v>92</v>
      </c>
      <c r="AE34" s="418" t="str">
        <f>IF(ISBLANK(fixtures!$L256),"",fixtures!$L256)</f>
        <v/>
      </c>
      <c r="AF34" s="412" t="str">
        <f>IF(ISBLANK(fixtures!$L256),"",":")</f>
        <v/>
      </c>
      <c r="AG34" s="419" t="str">
        <f>IF(ISBLANK(fixtures!$K256),"",fixtures!$K256)</f>
        <v/>
      </c>
      <c r="AH34" s="412" t="str">
        <f>IF(ISBLANK(fixtures!$L256),"",IF(AE34&gt;AG34,"W",IF(AE34=AG34,"D","L")))</f>
        <v/>
      </c>
      <c r="AI34" s="412"/>
      <c r="AJ34" s="412"/>
      <c r="AK34" s="427">
        <v>11</v>
      </c>
      <c r="AL34" s="428" t="s">
        <v>439</v>
      </c>
      <c r="AM34" s="429">
        <f ca="1">IFERROR(INDIRECT("fixtures!" &amp; Dashboard!J1 &amp;253) - Dashboard!K1/24,"TBC")</f>
        <v>46064.833333333336</v>
      </c>
      <c r="AN34" s="413"/>
      <c r="AO34" s="413" t="s">
        <v>1</v>
      </c>
      <c r="AP34" s="413" t="s">
        <v>93</v>
      </c>
      <c r="AQ34" s="427" t="str">
        <f>IF(ISBLANK(fixtures!$K253),"",fixtures!$K253)</f>
        <v/>
      </c>
      <c r="AR34" s="413" t="str">
        <f>IF(ISBLANK(fixtures!$L253),"",":")</f>
        <v/>
      </c>
      <c r="AS34" s="428" t="str">
        <f>IF(ISBLANK(fixtures!$L253),"",fixtures!$L253)</f>
        <v/>
      </c>
      <c r="AT34" s="413" t="str">
        <f>IF(ISBLANK(fixtures!$L253),"",IF(AQ34&gt;AS34,"W",IF(AQ34=AS34,"D","L")))</f>
        <v/>
      </c>
      <c r="AU34" s="413"/>
      <c r="AV34" s="413"/>
      <c r="AW34" s="71">
        <v>11</v>
      </c>
      <c r="AX34" s="73" t="s">
        <v>439</v>
      </c>
      <c r="AY34" s="219">
        <f ca="1">IFERROR(INDIRECT("fixtures!" &amp; Dashboard!J1 &amp;252) - Dashboard!K1/24,"TBC")</f>
        <v>46064.833333333336</v>
      </c>
      <c r="AZ34" s="9"/>
      <c r="BA34" s="9" t="s">
        <v>2</v>
      </c>
      <c r="BB34" s="9" t="s">
        <v>92</v>
      </c>
      <c r="BC34" s="71" t="str">
        <f>IF(ISBLANK(fixtures!$L252),"",fixtures!$L252)</f>
        <v/>
      </c>
      <c r="BD34" s="9" t="str">
        <f>IF(ISBLANK(fixtures!$L252),"",":")</f>
        <v/>
      </c>
      <c r="BE34" s="73" t="str">
        <f>IF(ISBLANK(fixtures!$K252),"",fixtures!$K252)</f>
        <v/>
      </c>
      <c r="BF34" s="9" t="str">
        <f>IF(ISBLANK(fixtures!$L252),"",IF(BC34&gt;BE34,"W",IF(BC34=BE34,"D","L")))</f>
        <v/>
      </c>
      <c r="BG34" s="9"/>
      <c r="BH34" s="9"/>
      <c r="BI34" s="436">
        <v>11</v>
      </c>
      <c r="BJ34" s="414" t="s">
        <v>439</v>
      </c>
      <c r="BK34" s="438">
        <f ca="1">IFERROR(INDIRECT("fixtures!" &amp; Dashboard!J1 &amp;255) - Dashboard!K1/24,"TBC")</f>
        <v>46064.833333333336</v>
      </c>
      <c r="BL34" s="414"/>
      <c r="BM34" s="414" t="s">
        <v>7</v>
      </c>
      <c r="BN34" s="414" t="s">
        <v>92</v>
      </c>
      <c r="BO34" s="436" t="str">
        <f>IF(ISBLANK(fixtures!$L255),"",fixtures!$L255)</f>
        <v/>
      </c>
      <c r="BP34" s="414" t="str">
        <f>IF(ISBLANK(fixtures!$L255),"",":")</f>
        <v/>
      </c>
      <c r="BQ34" s="437" t="str">
        <f>IF(ISBLANK(fixtures!$K255),"",fixtures!$K255)</f>
        <v/>
      </c>
      <c r="BR34" s="414" t="str">
        <f>IF(ISBLANK(fixtures!$L255),"",IF(BO34&gt;BQ34,"W",IF(BO34=BQ34,"D","L")))</f>
        <v/>
      </c>
      <c r="BS34" s="414"/>
      <c r="BT34" s="414"/>
      <c r="BU34" s="146">
        <v>11</v>
      </c>
      <c r="BV34" s="13" t="s">
        <v>439</v>
      </c>
      <c r="BW34" s="225">
        <f ca="1">IFERROR(INDIRECT("fixtures!" &amp; Dashboard!J1 &amp;254) - Dashboard!K1/24,"TBC")</f>
        <v>46064.833333333336</v>
      </c>
      <c r="BX34" s="13"/>
      <c r="BY34" s="13" t="s">
        <v>444</v>
      </c>
      <c r="BZ34" s="13" t="s">
        <v>93</v>
      </c>
      <c r="CA34" s="146" t="str">
        <f>IF(ISBLANK(fixtures!$K254),"",fixtures!$K254)</f>
        <v/>
      </c>
      <c r="CB34" s="13" t="str">
        <f>IF(ISBLANK(fixtures!$L254),"",":")</f>
        <v/>
      </c>
      <c r="CC34" s="148" t="str">
        <f>IF(ISBLANK(fixtures!$L254),"",fixtures!$L254)</f>
        <v/>
      </c>
      <c r="CD34" s="13" t="str">
        <f>IF(ISBLANK(fixtures!$L254),"",IF(CA34&gt;CC34,"W",IF(CA34=CC34,"D","L")))</f>
        <v/>
      </c>
      <c r="CE34" s="13"/>
      <c r="CF34" s="13"/>
      <c r="CG34" s="394">
        <v>11</v>
      </c>
      <c r="CH34" s="14" t="s">
        <v>439</v>
      </c>
      <c r="CI34" s="396">
        <f ca="1">IFERROR(INDIRECT("fixtures!" &amp; Dashboard!J1 &amp;255) - Dashboard!K1/24,"TBC")</f>
        <v>46064.833333333336</v>
      </c>
      <c r="CJ34" s="14"/>
      <c r="CK34" s="14" t="s">
        <v>5</v>
      </c>
      <c r="CL34" s="14" t="s">
        <v>93</v>
      </c>
      <c r="CM34" s="394" t="str">
        <f>IF(ISBLANK(fixtures!$K255),"",fixtures!$K255)</f>
        <v/>
      </c>
      <c r="CN34" s="14" t="str">
        <f>IF(ISBLANK(fixtures!$L255),"",":")</f>
        <v/>
      </c>
      <c r="CO34" s="395" t="str">
        <f>IF(ISBLANK(fixtures!$L255),"",fixtures!$L255)</f>
        <v/>
      </c>
      <c r="CP34" s="14" t="str">
        <f>IF(ISBLANK(fixtures!$L255),"",IF(CM34&gt;CO34,"W",IF(CM34=CO34,"D","L")))</f>
        <v/>
      </c>
      <c r="CQ34" s="14"/>
      <c r="CR34" s="14"/>
      <c r="CS34" s="231">
        <v>11</v>
      </c>
      <c r="CT34" s="17" t="s">
        <v>439</v>
      </c>
      <c r="CU34" s="233">
        <f ca="1">IFERROR(INDIRECT("fixtures!" &amp; Dashboard!J1 &amp;256) - Dashboard!K1/24,"TBC")</f>
        <v>46064.833333333336</v>
      </c>
      <c r="CV34" s="17"/>
      <c r="CW34" s="17" t="s">
        <v>3</v>
      </c>
      <c r="CX34" s="17" t="s">
        <v>93</v>
      </c>
      <c r="CY34" s="231" t="str">
        <f>IF(ISBLANK(fixtures!$K256),"",fixtures!$K256)</f>
        <v/>
      </c>
      <c r="CZ34" s="17" t="str">
        <f>IF(ISBLANK(fixtures!$L256),"",":")</f>
        <v/>
      </c>
      <c r="DA34" s="232" t="str">
        <f>IF(ISBLANK(fixtures!$L256),"",fixtures!$L256)</f>
        <v/>
      </c>
      <c r="DB34" s="17" t="str">
        <f>IF(ISBLANK(fixtures!$L256),"",IF(CY34&gt;DA34,"W",IF(CY34=DA34,"D","L")))</f>
        <v/>
      </c>
      <c r="DC34" s="17"/>
      <c r="DD34" s="17"/>
      <c r="DE34" s="444">
        <v>11</v>
      </c>
      <c r="DF34" s="143" t="s">
        <v>439</v>
      </c>
      <c r="DG34" s="446">
        <f ca="1">IFERROR(INDIRECT("fixtures!" &amp; Dashboard!J1 &amp;257) - Dashboard!K1/24,"TBC")</f>
        <v>46064.833333333336</v>
      </c>
      <c r="DH34" s="143"/>
      <c r="DI34" s="143" t="s">
        <v>10</v>
      </c>
      <c r="DJ34" s="143" t="s">
        <v>92</v>
      </c>
      <c r="DK34" s="444" t="str">
        <f>IF(ISBLANK(fixtures!$L257),"",fixtures!$L257)</f>
        <v/>
      </c>
      <c r="DL34" s="143" t="str">
        <f>IF(ISBLANK(fixtures!$L257),"",":")</f>
        <v/>
      </c>
      <c r="DM34" s="445" t="str">
        <f>IF(ISBLANK(fixtures!$K257),"",fixtures!$K257)</f>
        <v/>
      </c>
      <c r="DN34" s="143" t="str">
        <f>IF(ISBLANK(fixtures!$L257),"",IF(DK34&gt;DM34,"W",IF(DK34=DM34,"D","L")))</f>
        <v/>
      </c>
      <c r="DO34" s="143"/>
      <c r="DP34" s="143"/>
      <c r="DQ34" s="382">
        <v>11</v>
      </c>
      <c r="DR34" s="380" t="s">
        <v>439</v>
      </c>
      <c r="DS34" s="384">
        <f ca="1">IFERROR(INDIRECT("fixtures!" &amp; Dashboard!J1 &amp;254) - Dashboard!K1/24,"TBC")</f>
        <v>46064.833333333336</v>
      </c>
      <c r="DT34" s="380"/>
      <c r="DU34" s="380" t="s">
        <v>6</v>
      </c>
      <c r="DV34" s="380" t="s">
        <v>92</v>
      </c>
      <c r="DW34" s="382" t="str">
        <f>IF(ISBLANK(fixtures!$L254),"",fixtures!$L254)</f>
        <v/>
      </c>
      <c r="DX34" s="380" t="str">
        <f>IF(ISBLANK(fixtures!$L254),"",":")</f>
        <v/>
      </c>
      <c r="DY34" s="383" t="str">
        <f>IF(ISBLANK(fixtures!$K254),"",fixtures!$K254)</f>
        <v/>
      </c>
      <c r="DZ34" s="380" t="str">
        <f>IF(ISBLANK(fixtures!$L254),"",IF(DW34&gt;DY34,"W",IF(DW34=DY34,"D","L")))</f>
        <v/>
      </c>
      <c r="EA34" s="380"/>
      <c r="EB34" s="380"/>
      <c r="EC34" s="207">
        <v>11</v>
      </c>
      <c r="ED34" s="19" t="s">
        <v>439</v>
      </c>
      <c r="EE34" s="239">
        <f ca="1">IFERROR(INDIRECT("fixtures!" &amp; Dashboard!J1 &amp;260) - Dashboard!K1/24,"TBC")</f>
        <v>46064.833333333336</v>
      </c>
      <c r="EF34" s="19"/>
      <c r="EG34" s="19" t="s">
        <v>443</v>
      </c>
      <c r="EH34" s="19" t="s">
        <v>92</v>
      </c>
      <c r="EI34" s="207" t="str">
        <f>IF(ISBLANK(fixtures!$L260),"",fixtures!$L260)</f>
        <v/>
      </c>
      <c r="EJ34" s="19" t="str">
        <f>IF(ISBLANK(fixtures!$L260),"",":")</f>
        <v/>
      </c>
      <c r="EK34" s="209" t="str">
        <f>IF(ISBLANK(fixtures!$K260),"",fixtures!$K260)</f>
        <v/>
      </c>
      <c r="EL34" s="19" t="str">
        <f>IF(ISBLANK(fixtures!$L260),"",IF(EI34&gt;EK34,"W",IF(EI34=EK34,"D","L")))</f>
        <v/>
      </c>
      <c r="EM34" s="19"/>
      <c r="EN34" s="19"/>
      <c r="EO34" s="80">
        <v>11</v>
      </c>
      <c r="EP34" s="21" t="s">
        <v>439</v>
      </c>
      <c r="EQ34" s="245">
        <f ca="1">IFERROR(INDIRECT("fixtures!" &amp; Dashboard!J1 &amp;257) - Dashboard!K1/24,"TBC")</f>
        <v>46064.833333333336</v>
      </c>
      <c r="ER34" s="21"/>
      <c r="ES34" s="21" t="s">
        <v>108</v>
      </c>
      <c r="ET34" s="21" t="s">
        <v>93</v>
      </c>
      <c r="EU34" s="80" t="str">
        <f>IF(ISBLANK(fixtures!$K257),"",fixtures!$K257)</f>
        <v/>
      </c>
      <c r="EV34" s="21" t="str">
        <f>IF(ISBLANK(fixtures!$L257),"",":")</f>
        <v/>
      </c>
      <c r="EW34" s="82" t="str">
        <f>IF(ISBLANK(fixtures!$L257),"",fixtures!$L257)</f>
        <v/>
      </c>
      <c r="EX34" s="21" t="str">
        <f>IF(ISBLANK(fixtures!$L257),"",IF(EU34&gt;EW34,"W",IF(EU34=EW34,"D","L")))</f>
        <v/>
      </c>
      <c r="EY34" s="21"/>
      <c r="EZ34" s="21"/>
      <c r="FA34" s="251">
        <v>11</v>
      </c>
      <c r="FB34" s="23" t="s">
        <v>439</v>
      </c>
      <c r="FC34" s="253">
        <f ca="1">IFERROR(INDIRECT("fixtures!" &amp; Dashboard!J1 &amp;261) - Dashboard!K1/24,"TBC")</f>
        <v>46064.833333333336</v>
      </c>
      <c r="FD34" s="23"/>
      <c r="FE34" s="23" t="s">
        <v>14</v>
      </c>
      <c r="FF34" s="23" t="s">
        <v>92</v>
      </c>
      <c r="FG34" s="251" t="str">
        <f>IF(ISBLANK(fixtures!$L261),"",fixtures!$L261)</f>
        <v/>
      </c>
      <c r="FH34" s="23" t="str">
        <f>IF(ISBLANK(fixtures!$L261),"",":")</f>
        <v/>
      </c>
      <c r="FI34" s="252" t="str">
        <f>IF(ISBLANK(fixtures!$K261),"",fixtures!$K261)</f>
        <v/>
      </c>
      <c r="FJ34" s="23" t="str">
        <f>IF(ISBLANK(fixtures!$L261),"",IF(FG34&gt;FI34,"W",IF(FG34=FI34,"D","L")))</f>
        <v/>
      </c>
      <c r="FK34" s="23"/>
      <c r="FL34" s="23"/>
      <c r="FM34" s="85">
        <v>11</v>
      </c>
      <c r="FN34" s="25" t="s">
        <v>439</v>
      </c>
      <c r="FO34" s="259">
        <f ca="1">IFERROR(INDIRECT("fixtures!" &amp; Dashboard!J1 &amp;259) - Dashboard!K1/24,"TBC")</f>
        <v>46064.833333333336</v>
      </c>
      <c r="FP34" s="25"/>
      <c r="FQ34" s="25" t="s">
        <v>13</v>
      </c>
      <c r="FR34" s="25" t="s">
        <v>92</v>
      </c>
      <c r="FS34" s="85" t="str">
        <f>IF(ISBLANK(fixtures!$L259),"",fixtures!$L259)</f>
        <v/>
      </c>
      <c r="FT34" s="25" t="str">
        <f>IF(ISBLANK(fixtures!$L259),"",":")</f>
        <v/>
      </c>
      <c r="FU34" s="87" t="str">
        <f>IF(ISBLANK(fixtures!$K259),"",fixtures!$K259)</f>
        <v/>
      </c>
      <c r="FV34" s="25" t="str">
        <f>IF(ISBLANK(fixtures!$L259),"",IF(FS34&gt;FU34,"W",IF(FS34=FU34,"D","L")))</f>
        <v/>
      </c>
      <c r="FW34" s="25"/>
      <c r="FX34" s="25"/>
      <c r="FY34" s="402">
        <v>11</v>
      </c>
      <c r="FZ34" s="390" t="s">
        <v>439</v>
      </c>
      <c r="GA34" s="404">
        <f ca="1">IFERROR(INDIRECT("fixtures!" &amp; Dashboard!J1 &amp;258) - Dashboard!K1/24,"TBC")</f>
        <v>46064.833333333336</v>
      </c>
      <c r="GB34" s="390"/>
      <c r="GC34" s="390" t="s">
        <v>15</v>
      </c>
      <c r="GD34" s="390" t="s">
        <v>93</v>
      </c>
      <c r="GE34" s="402" t="str">
        <f>IF(ISBLANK(fixtures!$K258),"",fixtures!$K258)</f>
        <v/>
      </c>
      <c r="GF34" s="390" t="str">
        <f>IF(ISBLANK(fixtures!$L258),"",":")</f>
        <v/>
      </c>
      <c r="GG34" s="403" t="str">
        <f>IF(ISBLANK(fixtures!$L258),"",fixtures!$L258)</f>
        <v/>
      </c>
      <c r="GH34" s="390" t="str">
        <f>IF(ISBLANK(fixtures!$L258),"",IF(GE34&gt;GG34,"W",IF(GE34=GG34,"D","L")))</f>
        <v/>
      </c>
      <c r="GI34" s="390"/>
      <c r="GJ34" s="390"/>
      <c r="GK34" s="89">
        <v>11</v>
      </c>
      <c r="GL34" s="27" t="s">
        <v>439</v>
      </c>
      <c r="GM34" s="266">
        <f ca="1">IFERROR(INDIRECT("fixtures!" &amp; Dashboard!J1 &amp;259) - Dashboard!K1/24,"TBC")</f>
        <v>46064.833333333336</v>
      </c>
      <c r="GN34" s="27"/>
      <c r="GO34" s="27" t="s">
        <v>12</v>
      </c>
      <c r="GP34" s="27" t="s">
        <v>93</v>
      </c>
      <c r="GQ34" s="89" t="str">
        <f>IF(ISBLANK(fixtures!$K259),"",fixtures!$K259)</f>
        <v/>
      </c>
      <c r="GR34" s="27" t="str">
        <f>IF(ISBLANK(fixtures!$L259),"",":")</f>
        <v/>
      </c>
      <c r="GS34" s="90" t="str">
        <f>IF(ISBLANK(fixtures!$L259),"",fixtures!$L259)</f>
        <v/>
      </c>
      <c r="GT34" s="27" t="str">
        <f>IF(ISBLANK(fixtures!$L259),"",IF(GQ34&gt;GS34,"W",IF(GQ34=GS34,"D","L")))</f>
        <v/>
      </c>
      <c r="GU34" s="27"/>
      <c r="GV34" s="27"/>
      <c r="GW34" s="382">
        <v>11</v>
      </c>
      <c r="GX34" s="380" t="s">
        <v>439</v>
      </c>
      <c r="GY34" s="384">
        <f ca="1">IFERROR(INDIRECT("fixtures!" &amp; Dashboard!J1 &amp;260) - Dashboard!K1/24,"TBC")</f>
        <v>46064.833333333336</v>
      </c>
      <c r="GZ34" s="380"/>
      <c r="HA34" s="380" t="s">
        <v>9</v>
      </c>
      <c r="HB34" s="380" t="s">
        <v>93</v>
      </c>
      <c r="HC34" s="382" t="str">
        <f>IF(ISBLANK(fixtures!$K260),"",fixtures!$K260)</f>
        <v/>
      </c>
      <c r="HD34" s="380" t="str">
        <f>IF(ISBLANK(fixtures!$L260),"",":")</f>
        <v/>
      </c>
      <c r="HE34" s="383" t="str">
        <f>IF(ISBLANK(fixtures!$L260),"",fixtures!$L260)</f>
        <v/>
      </c>
      <c r="HF34" s="380" t="str">
        <f>IF(ISBLANK(fixtures!$L260),"",IF(HC34&gt;HE34,"W",IF(HC34=HE34,"D","L")))</f>
        <v/>
      </c>
      <c r="HG34" s="380"/>
      <c r="HH34" s="380"/>
      <c r="HI34" s="92">
        <v>11</v>
      </c>
      <c r="HJ34" s="29" t="s">
        <v>439</v>
      </c>
      <c r="HK34" s="272">
        <f ca="1">IFERROR(INDIRECT("fixtures!" &amp; Dashboard!J1 &amp;261) - Dashboard!K1/24,"TBC")</f>
        <v>46064.833333333336</v>
      </c>
      <c r="HL34" s="29"/>
      <c r="HM34" s="29" t="s">
        <v>11</v>
      </c>
      <c r="HN34" s="29" t="s">
        <v>93</v>
      </c>
      <c r="HO34" s="92" t="str">
        <f>IF(ISBLANK(fixtures!$K261),"",fixtures!$K261)</f>
        <v/>
      </c>
      <c r="HP34" s="29" t="str">
        <f>IF(ISBLANK(fixtures!$L261),"",":")</f>
        <v/>
      </c>
      <c r="HQ34" s="94" t="str">
        <f>IF(ISBLANK(fixtures!$L261),"",fixtures!$L261)</f>
        <v/>
      </c>
      <c r="HR34" s="29" t="str">
        <f>IF(ISBLANK(fixtures!$L261),"",IF(HO34&gt;HQ34,"W",IF(HO34=HQ34,"D","L")))</f>
        <v/>
      </c>
      <c r="HS34" s="29"/>
      <c r="HT34" s="29"/>
      <c r="HU34" s="97">
        <v>11</v>
      </c>
      <c r="HV34" s="31" t="s">
        <v>439</v>
      </c>
      <c r="HW34" s="278">
        <f ca="1">IFERROR(INDIRECT("fixtures!" &amp; Dashboard!J1 &amp;258) - Dashboard!K1/24,"TBC")</f>
        <v>46064.833333333336</v>
      </c>
      <c r="HX34" s="31"/>
      <c r="HY34" s="31" t="s">
        <v>188</v>
      </c>
      <c r="HZ34" s="31" t="s">
        <v>92</v>
      </c>
      <c r="IA34" s="97" t="str">
        <f>IF(ISBLANK(fixtures!$L258),"",fixtures!$L258)</f>
        <v/>
      </c>
      <c r="IB34" s="31" t="str">
        <f>IF(ISBLANK(fixtures!$L258),"",":")</f>
        <v/>
      </c>
      <c r="IC34" s="99" t="str">
        <f>IF(ISBLANK(fixtures!$K258),"",fixtures!$K258)</f>
        <v/>
      </c>
      <c r="ID34" s="31" t="str">
        <f>IF(ISBLANK(fixtures!$L258),"",IF(IA34&gt;IC34,"W",IF(IA34=IC34,"D","L")))</f>
        <v/>
      </c>
      <c r="IE34" s="31"/>
      <c r="IF34" s="31"/>
      <c r="II34" s="112"/>
    </row>
    <row r="35" spans="1:252">
      <c r="A35" s="66">
        <v>21</v>
      </c>
      <c r="B35" s="68" t="s">
        <v>218</v>
      </c>
      <c r="C35" s="214">
        <f ca="1">IFERROR(INDIRECT("fixtures!" &amp; Dashboard!J1 &amp;269) - Dashboard!K1/24,"TBC")</f>
        <v>46074.625</v>
      </c>
      <c r="D35" s="6"/>
      <c r="E35" s="6" t="s">
        <v>13</v>
      </c>
      <c r="F35" s="6" t="s">
        <v>92</v>
      </c>
      <c r="G35" s="66" t="str">
        <f>IF(ISBLANK(fixtures!$L269),"",fixtures!$L269)</f>
        <v/>
      </c>
      <c r="H35" s="6" t="str">
        <f>IF(ISBLANK(fixtures!$L269),"",":")</f>
        <v/>
      </c>
      <c r="I35" s="68" t="str">
        <f>IF(ISBLANK(fixtures!$K269),"",fixtures!$K269)</f>
        <v/>
      </c>
      <c r="J35" s="6" t="str">
        <f>IF(ISBLANK(fixtures!$L269),"",IF(G35&gt;I35,"W",IF(G35=I35,"D","L")))</f>
        <v/>
      </c>
      <c r="K35" s="6"/>
      <c r="L35" s="6"/>
      <c r="M35" s="382">
        <v>21</v>
      </c>
      <c r="N35" s="380" t="s">
        <v>218</v>
      </c>
      <c r="O35" s="384">
        <f ca="1">IFERROR(INDIRECT("fixtures!" &amp; Dashboard!J1 &amp;262) - Dashboard!K1/24,"TBC")</f>
        <v>46074.625</v>
      </c>
      <c r="P35" s="380"/>
      <c r="Q35" s="380" t="s">
        <v>444</v>
      </c>
      <c r="R35" s="380" t="s">
        <v>93</v>
      </c>
      <c r="S35" s="382" t="str">
        <f>IF(ISBLANK(fixtures!$K262),"",fixtures!$K262)</f>
        <v/>
      </c>
      <c r="T35" s="380" t="str">
        <f>IF(ISBLANK(fixtures!$L262),"",":")</f>
        <v/>
      </c>
      <c r="U35" s="383" t="str">
        <f>IF(ISBLANK(fixtures!$L262),"",fixtures!$L262)</f>
        <v/>
      </c>
      <c r="V35" s="380" t="str">
        <f>IF(ISBLANK(fixtures!$L262),"",IF(S35&gt;U35,"W",IF(S35=U35,"D","L")))</f>
        <v/>
      </c>
      <c r="W35" s="380"/>
      <c r="X35" s="380"/>
      <c r="Y35" s="418">
        <v>21</v>
      </c>
      <c r="Z35" s="412" t="s">
        <v>218</v>
      </c>
      <c r="AA35" s="420">
        <f ca="1">IFERROR(INDIRECT("fixtures!" &amp; Dashboard!J1 &amp;271) - Dashboard!K1/24,"TBC")</f>
        <v>46074.625</v>
      </c>
      <c r="AB35" s="412"/>
      <c r="AC35" s="412" t="s">
        <v>14</v>
      </c>
      <c r="AD35" s="412" t="s">
        <v>92</v>
      </c>
      <c r="AE35" s="418" t="str">
        <f>IF(ISBLANK(fixtures!$L271),"",fixtures!$L271)</f>
        <v/>
      </c>
      <c r="AF35" s="412" t="str">
        <f>IF(ISBLANK(fixtures!$L271),"",":")</f>
        <v/>
      </c>
      <c r="AG35" s="419" t="str">
        <f>IF(ISBLANK(fixtures!$K271),"",fixtures!$K271)</f>
        <v/>
      </c>
      <c r="AH35" s="412" t="str">
        <f>IF(ISBLANK(fixtures!$L271),"",IF(AE35&gt;AG35,"W",IF(AE35=AG35,"D","L")))</f>
        <v/>
      </c>
      <c r="AI35" s="412"/>
      <c r="AJ35" s="412"/>
      <c r="AK35" s="427">
        <v>21</v>
      </c>
      <c r="AL35" s="413" t="s">
        <v>218</v>
      </c>
      <c r="AM35" s="429">
        <f ca="1">IFERROR(INDIRECT("fixtures!" &amp; Dashboard!J1 &amp;263) - Dashboard!K1/24,"TBC")</f>
        <v>46074.625</v>
      </c>
      <c r="AN35" s="413"/>
      <c r="AO35" s="413" t="s">
        <v>4</v>
      </c>
      <c r="AP35" s="413" t="s">
        <v>93</v>
      </c>
      <c r="AQ35" s="427" t="str">
        <f>IF(ISBLANK(fixtures!$K263),"",fixtures!$K263)</f>
        <v/>
      </c>
      <c r="AR35" s="413" t="str">
        <f>IF(ISBLANK(fixtures!$L263),"",":")</f>
        <v/>
      </c>
      <c r="AS35" s="428" t="str">
        <f>IF(ISBLANK(fixtures!$L263),"",fixtures!$L263)</f>
        <v/>
      </c>
      <c r="AT35" s="413" t="str">
        <f>IF(ISBLANK(fixtures!$L263),"",IF(AQ35&gt;AS35,"W",IF(AQ35=AS35,"D","L")))</f>
        <v/>
      </c>
      <c r="AU35" s="413"/>
      <c r="AV35" s="413"/>
      <c r="AW35" s="71">
        <v>21</v>
      </c>
      <c r="AX35" s="9" t="s">
        <v>218</v>
      </c>
      <c r="AY35" s="219">
        <f ca="1">IFERROR(INDIRECT("fixtures!" &amp; Dashboard!J1 &amp;263) - Dashboard!K1/24,"TBC")</f>
        <v>46074.625</v>
      </c>
      <c r="AZ35" s="9"/>
      <c r="BA35" s="9" t="s">
        <v>107</v>
      </c>
      <c r="BB35" s="9" t="s">
        <v>92</v>
      </c>
      <c r="BC35" s="71" t="str">
        <f>IF(ISBLANK(fixtures!$L263),"",fixtures!$L263)</f>
        <v/>
      </c>
      <c r="BD35" s="9" t="str">
        <f>IF(ISBLANK(fixtures!$L263),"",":")</f>
        <v/>
      </c>
      <c r="BE35" s="73" t="str">
        <f>IF(ISBLANK(fixtures!$K263),"",fixtures!$K263)</f>
        <v/>
      </c>
      <c r="BF35" s="9" t="str">
        <f>IF(ISBLANK(fixtures!$L263),"",IF(BC35&gt;BE35,"W",IF(BC35=BE35,"D","L")))</f>
        <v/>
      </c>
      <c r="BG35" s="9"/>
      <c r="BH35" s="9"/>
      <c r="BI35" s="436">
        <v>21</v>
      </c>
      <c r="BJ35" s="414" t="s">
        <v>218</v>
      </c>
      <c r="BK35" s="438">
        <f ca="1">IFERROR(INDIRECT("fixtures!" &amp; Dashboard!J1 &amp;264) - Dashboard!K1/24,"TBC")</f>
        <v>46074.625</v>
      </c>
      <c r="BL35" s="414"/>
      <c r="BM35" s="414" t="s">
        <v>6</v>
      </c>
      <c r="BN35" s="414" t="s">
        <v>92</v>
      </c>
      <c r="BO35" s="436" t="str">
        <f>IF(ISBLANK(fixtures!$L264),"",fixtures!$L264)</f>
        <v/>
      </c>
      <c r="BP35" s="414" t="str">
        <f>IF(ISBLANK(fixtures!$L264),"",":")</f>
        <v/>
      </c>
      <c r="BQ35" s="437" t="str">
        <f>IF(ISBLANK(fixtures!$K264),"",fixtures!$K264)</f>
        <v/>
      </c>
      <c r="BR35" s="414" t="str">
        <f>IF(ISBLANK(fixtures!$L264),"",IF(BO35&gt;BQ35,"W",IF(BO35=BQ35,"D","L")))</f>
        <v/>
      </c>
      <c r="BS35" s="414"/>
      <c r="BT35" s="414"/>
      <c r="BU35" s="146">
        <v>21</v>
      </c>
      <c r="BV35" s="13" t="s">
        <v>218</v>
      </c>
      <c r="BW35" s="225">
        <f ca="1">IFERROR(INDIRECT("fixtures!" &amp; Dashboard!J1 &amp;264) - Dashboard!K1/24,"TBC")</f>
        <v>46074.625</v>
      </c>
      <c r="BX35" s="13"/>
      <c r="BY35" s="13" t="s">
        <v>5</v>
      </c>
      <c r="BZ35" s="13" t="s">
        <v>93</v>
      </c>
      <c r="CA35" s="146" t="str">
        <f>IF(ISBLANK(fixtures!$K264),"",fixtures!$K264)</f>
        <v/>
      </c>
      <c r="CB35" s="13" t="str">
        <f>IF(ISBLANK(fixtures!$L264),"",":")</f>
        <v/>
      </c>
      <c r="CC35" s="148" t="str">
        <f>IF(ISBLANK(fixtures!$L264),"",fixtures!$L264)</f>
        <v/>
      </c>
      <c r="CD35" s="13" t="str">
        <f>IF(ISBLANK(fixtures!$L264),"",IF(CA35&gt;CC35,"W",IF(CA35=CC35,"D","L")))</f>
        <v/>
      </c>
      <c r="CE35" s="13"/>
      <c r="CF35" s="13"/>
      <c r="CG35" s="394">
        <v>21</v>
      </c>
      <c r="CH35" s="14" t="s">
        <v>218</v>
      </c>
      <c r="CI35" s="396">
        <f ca="1">IFERROR(INDIRECT("fixtures!" &amp; Dashboard!J1 &amp;265) - Dashboard!K1/24,"TBC")</f>
        <v>46074.625</v>
      </c>
      <c r="CJ35" s="14"/>
      <c r="CK35" s="14" t="s">
        <v>15</v>
      </c>
      <c r="CL35" s="14" t="s">
        <v>93</v>
      </c>
      <c r="CM35" s="394" t="str">
        <f>IF(ISBLANK(fixtures!$K265),"",fixtures!$K265)</f>
        <v/>
      </c>
      <c r="CN35" s="14" t="str">
        <f>IF(ISBLANK(fixtures!$L265),"",":")</f>
        <v/>
      </c>
      <c r="CO35" s="395" t="str">
        <f>IF(ISBLANK(fixtures!$L265),"",fixtures!$L265)</f>
        <v/>
      </c>
      <c r="CP35" s="14" t="str">
        <f>IF(ISBLANK(fixtures!$L265),"",IF(CM35&gt;CO35,"W",IF(CM35=CO35,"D","L")))</f>
        <v/>
      </c>
      <c r="CQ35" s="14"/>
      <c r="CR35" s="14"/>
      <c r="CS35" s="231">
        <v>21</v>
      </c>
      <c r="CT35" s="17" t="s">
        <v>218</v>
      </c>
      <c r="CU35" s="233">
        <f ca="1">IFERROR(INDIRECT("fixtures!" &amp; Dashboard!J1 &amp;266) - Dashboard!K1/24,"TBC")</f>
        <v>46074.625</v>
      </c>
      <c r="CV35" s="17"/>
      <c r="CW35" s="17" t="s">
        <v>11</v>
      </c>
      <c r="CX35" s="17" t="s">
        <v>93</v>
      </c>
      <c r="CY35" s="231" t="str">
        <f>IF(ISBLANK(fixtures!$K266),"",fixtures!$K266)</f>
        <v/>
      </c>
      <c r="CZ35" s="17" t="str">
        <f>IF(ISBLANK(fixtures!$L266),"",":")</f>
        <v/>
      </c>
      <c r="DA35" s="232" t="str">
        <f>IF(ISBLANK(fixtures!$L266),"",fixtures!$L266)</f>
        <v/>
      </c>
      <c r="DB35" s="17" t="str">
        <f>IF(ISBLANK(fixtures!$L266),"",IF(CY35&gt;DA35,"W",IF(CY35=DA35,"D","L")))</f>
        <v/>
      </c>
      <c r="DC35" s="17"/>
      <c r="DD35" s="17"/>
      <c r="DE35" s="444">
        <v>21</v>
      </c>
      <c r="DF35" s="143" t="s">
        <v>218</v>
      </c>
      <c r="DG35" s="446">
        <f ca="1">IFERROR(INDIRECT("fixtures!" &amp; Dashboard!J1 &amp;270) - Dashboard!K1/24,"TBC")</f>
        <v>46074.625</v>
      </c>
      <c r="DH35" s="143"/>
      <c r="DI35" s="143" t="s">
        <v>443</v>
      </c>
      <c r="DJ35" s="143" t="s">
        <v>92</v>
      </c>
      <c r="DK35" s="444" t="str">
        <f>IF(ISBLANK(fixtures!$L270),"",fixtures!$L270)</f>
        <v/>
      </c>
      <c r="DL35" s="143" t="str">
        <f>IF(ISBLANK(fixtures!$L270),"",":")</f>
        <v/>
      </c>
      <c r="DM35" s="445" t="str">
        <f>IF(ISBLANK(fixtures!$K270),"",fixtures!$K270)</f>
        <v/>
      </c>
      <c r="DN35" s="143" t="str">
        <f>IF(ISBLANK(fixtures!$L270),"",IF(DK35&gt;DM35,"W",IF(DK35=DM35,"D","L")))</f>
        <v/>
      </c>
      <c r="DO35" s="143"/>
      <c r="DP35" s="143"/>
      <c r="DQ35" s="382">
        <v>21</v>
      </c>
      <c r="DR35" s="380" t="s">
        <v>218</v>
      </c>
      <c r="DS35" s="384">
        <f ca="1">IFERROR(INDIRECT("fixtures!" &amp; Dashboard!J1 &amp;262) - Dashboard!K1/24,"TBC")</f>
        <v>46074.625</v>
      </c>
      <c r="DT35" s="380"/>
      <c r="DU35" s="380" t="s">
        <v>2</v>
      </c>
      <c r="DV35" s="380" t="s">
        <v>92</v>
      </c>
      <c r="DW35" s="382" t="str">
        <f>IF(ISBLANK(fixtures!$L262),"",fixtures!$L262)</f>
        <v/>
      </c>
      <c r="DX35" s="380" t="str">
        <f>IF(ISBLANK(fixtures!$L262),"",":")</f>
        <v/>
      </c>
      <c r="DY35" s="383" t="str">
        <f>IF(ISBLANK(fixtures!$K262),"",fixtures!$K262)</f>
        <v/>
      </c>
      <c r="DZ35" s="380" t="str">
        <f>IF(ISBLANK(fixtures!$L262),"",IF(DW35&gt;DY35,"W",IF(DW35=DY35,"D","L")))</f>
        <v/>
      </c>
      <c r="EA35" s="380"/>
      <c r="EB35" s="380"/>
      <c r="EC35" s="207">
        <v>21</v>
      </c>
      <c r="ED35" s="19" t="s">
        <v>218</v>
      </c>
      <c r="EE35" s="239">
        <f ca="1">IFERROR(INDIRECT("fixtures!" &amp; Dashboard!J1 &amp;268) - Dashboard!K1/24,"TBC")</f>
        <v>46074.625</v>
      </c>
      <c r="EF35" s="19"/>
      <c r="EG35" s="19" t="s">
        <v>188</v>
      </c>
      <c r="EH35" s="19" t="s">
        <v>92</v>
      </c>
      <c r="EI35" s="207" t="str">
        <f>IF(ISBLANK(fixtures!$L268),"",fixtures!$L268)</f>
        <v/>
      </c>
      <c r="EJ35" s="19" t="str">
        <f>IF(ISBLANK(fixtures!$L268),"",":")</f>
        <v/>
      </c>
      <c r="EK35" s="209" t="str">
        <f>IF(ISBLANK(fixtures!$K268),"",fixtures!$K268)</f>
        <v/>
      </c>
      <c r="EL35" s="19" t="str">
        <f>IF(ISBLANK(fixtures!$L268),"",IF(EI35&gt;EK35,"W",IF(EI35=EK35,"D","L")))</f>
        <v/>
      </c>
      <c r="EM35" s="19"/>
      <c r="EN35" s="19"/>
      <c r="EO35" s="80">
        <v>21</v>
      </c>
      <c r="EP35" s="21" t="s">
        <v>218</v>
      </c>
      <c r="EQ35" s="245">
        <f ca="1">IFERROR(INDIRECT("fixtures!" &amp; Dashboard!J1 &amp;267) - Dashboard!K1/24,"TBC")</f>
        <v>46074.625</v>
      </c>
      <c r="ER35" s="21"/>
      <c r="ES35" s="21" t="s">
        <v>12</v>
      </c>
      <c r="ET35" s="21" t="s">
        <v>93</v>
      </c>
      <c r="EU35" s="80" t="str">
        <f>IF(ISBLANK(fixtures!$K267),"",fixtures!$K267)</f>
        <v/>
      </c>
      <c r="EV35" s="21" t="str">
        <f>IF(ISBLANK(fixtures!$L267),"",":")</f>
        <v/>
      </c>
      <c r="EW35" s="82" t="str">
        <f>IF(ISBLANK(fixtures!$L267),"",fixtures!$L267)</f>
        <v/>
      </c>
      <c r="EX35" s="21" t="str">
        <f>IF(ISBLANK(fixtures!$L267),"",IF(EU35&gt;EW35,"W",IF(EU35=EW35,"D","L")))</f>
        <v/>
      </c>
      <c r="EY35" s="21"/>
      <c r="EZ35" s="21"/>
      <c r="FA35" s="251">
        <v>21</v>
      </c>
      <c r="FB35" s="23" t="s">
        <v>218</v>
      </c>
      <c r="FC35" s="253">
        <f ca="1">IFERROR(INDIRECT("fixtures!" &amp; Dashboard!J1 &amp;266) - Dashboard!K1/24,"TBC")</f>
        <v>46074.625</v>
      </c>
      <c r="FD35" s="23"/>
      <c r="FE35" s="23" t="s">
        <v>8</v>
      </c>
      <c r="FF35" s="23" t="s">
        <v>92</v>
      </c>
      <c r="FG35" s="251" t="str">
        <f>IF(ISBLANK(fixtures!$L266),"",fixtures!$L266)</f>
        <v/>
      </c>
      <c r="FH35" s="23" t="str">
        <f>IF(ISBLANK(fixtures!$L266),"",":")</f>
        <v/>
      </c>
      <c r="FI35" s="252" t="str">
        <f>IF(ISBLANK(fixtures!$K266),"",fixtures!$K266)</f>
        <v/>
      </c>
      <c r="FJ35" s="23" t="str">
        <f>IF(ISBLANK(fixtures!$L266),"",IF(FG35&gt;FI35,"W",IF(FG35=FI35,"D","L")))</f>
        <v/>
      </c>
      <c r="FK35" s="23"/>
      <c r="FL35" s="23"/>
      <c r="FM35" s="85">
        <v>21</v>
      </c>
      <c r="FN35" s="25" t="s">
        <v>218</v>
      </c>
      <c r="FO35" s="259">
        <f ca="1">IFERROR(INDIRECT("fixtures!" &amp; Dashboard!J1 &amp;267) - Dashboard!K1/24,"TBC")</f>
        <v>46074.625</v>
      </c>
      <c r="FP35" s="25"/>
      <c r="FQ35" s="25" t="s">
        <v>10</v>
      </c>
      <c r="FR35" s="25" t="s">
        <v>92</v>
      </c>
      <c r="FS35" s="85" t="str">
        <f>IF(ISBLANK(fixtures!$L267),"",fixtures!$L267)</f>
        <v/>
      </c>
      <c r="FT35" s="25" t="str">
        <f>IF(ISBLANK(fixtures!$L267),"",":")</f>
        <v/>
      </c>
      <c r="FU35" s="87" t="str">
        <f>IF(ISBLANK(fixtures!$K267),"",fixtures!$K267)</f>
        <v/>
      </c>
      <c r="FV35" s="25" t="str">
        <f>IF(ISBLANK(fixtures!$L267),"",IF(FS35&gt;FU35,"W",IF(FS35=FU35,"D","L")))</f>
        <v/>
      </c>
      <c r="FW35" s="25"/>
      <c r="FX35" s="25"/>
      <c r="FY35" s="402">
        <v>21</v>
      </c>
      <c r="FZ35" s="390" t="s">
        <v>218</v>
      </c>
      <c r="GA35" s="404">
        <f ca="1">IFERROR(INDIRECT("fixtures!" &amp; Dashboard!J1 &amp;268) - Dashboard!K1/24,"TBC")</f>
        <v>46074.625</v>
      </c>
      <c r="GB35" s="390"/>
      <c r="GC35" s="390" t="s">
        <v>9</v>
      </c>
      <c r="GD35" s="390" t="s">
        <v>93</v>
      </c>
      <c r="GE35" s="402" t="str">
        <f>IF(ISBLANK(fixtures!$K268),"",fixtures!$K268)</f>
        <v/>
      </c>
      <c r="GF35" s="390" t="str">
        <f>IF(ISBLANK(fixtures!$L268),"",":")</f>
        <v/>
      </c>
      <c r="GG35" s="403" t="str">
        <f>IF(ISBLANK(fixtures!$L268),"",fixtures!$L268)</f>
        <v/>
      </c>
      <c r="GH35" s="390" t="str">
        <f>IF(ISBLANK(fixtures!$L268),"",IF(GE35&gt;GG35,"W",IF(GE35=GG35,"D","L")))</f>
        <v/>
      </c>
      <c r="GI35" s="390"/>
      <c r="GJ35" s="390"/>
      <c r="GK35" s="89">
        <v>21</v>
      </c>
      <c r="GL35" s="27" t="s">
        <v>218</v>
      </c>
      <c r="GM35" s="266">
        <f ca="1">IFERROR(INDIRECT("fixtures!" &amp; Dashboard!J1 &amp;269) - Dashboard!K1/24,"TBC")</f>
        <v>46074.625</v>
      </c>
      <c r="GN35" s="27"/>
      <c r="GO35" s="27" t="s">
        <v>1</v>
      </c>
      <c r="GP35" s="27" t="s">
        <v>93</v>
      </c>
      <c r="GQ35" s="89" t="str">
        <f>IF(ISBLANK(fixtures!$K269),"",fixtures!$K269)</f>
        <v/>
      </c>
      <c r="GR35" s="27" t="str">
        <f>IF(ISBLANK(fixtures!$L269),"",":")</f>
        <v/>
      </c>
      <c r="GS35" s="90" t="str">
        <f>IF(ISBLANK(fixtures!$L269),"",fixtures!$L269)</f>
        <v/>
      </c>
      <c r="GT35" s="27" t="str">
        <f>IF(ISBLANK(fixtures!$L269),"",IF(GQ35&gt;GS35,"W",IF(GQ35=GS35,"D","L")))</f>
        <v/>
      </c>
      <c r="GU35" s="27"/>
      <c r="GV35" s="27"/>
      <c r="GW35" s="382">
        <v>21</v>
      </c>
      <c r="GX35" s="380" t="s">
        <v>218</v>
      </c>
      <c r="GY35" s="384">
        <f ca="1">IFERROR(INDIRECT("fixtures!" &amp; Dashboard!J1 &amp;270) - Dashboard!K1/24,"TBC")</f>
        <v>46074.625</v>
      </c>
      <c r="GZ35" s="380"/>
      <c r="HA35" s="380" t="s">
        <v>108</v>
      </c>
      <c r="HB35" s="380" t="s">
        <v>93</v>
      </c>
      <c r="HC35" s="382" t="str">
        <f>IF(ISBLANK(fixtures!$K270),"",fixtures!$K270)</f>
        <v/>
      </c>
      <c r="HD35" s="380" t="str">
        <f>IF(ISBLANK(fixtures!$L270),"",":")</f>
        <v/>
      </c>
      <c r="HE35" s="383" t="str">
        <f>IF(ISBLANK(fixtures!$L270),"",fixtures!$L270)</f>
        <v/>
      </c>
      <c r="HF35" s="380" t="str">
        <f>IF(ISBLANK(fixtures!$L270),"",IF(HC35&gt;HE35,"W",IF(HC35=HE35,"D","L")))</f>
        <v/>
      </c>
      <c r="HG35" s="380"/>
      <c r="HH35" s="380"/>
      <c r="HI35" s="92">
        <v>21</v>
      </c>
      <c r="HJ35" s="29" t="s">
        <v>218</v>
      </c>
      <c r="HK35" s="272">
        <f ca="1">IFERROR(INDIRECT("fixtures!" &amp; Dashboard!J1 &amp;271) - Dashboard!K1/24,"TBC")</f>
        <v>46074.625</v>
      </c>
      <c r="HL35" s="29"/>
      <c r="HM35" s="29" t="s">
        <v>3</v>
      </c>
      <c r="HN35" s="29" t="s">
        <v>93</v>
      </c>
      <c r="HO35" s="92" t="str">
        <f>IF(ISBLANK(fixtures!$K271),"",fixtures!$K271)</f>
        <v/>
      </c>
      <c r="HP35" s="29" t="str">
        <f>IF(ISBLANK(fixtures!$L271),"",":")</f>
        <v/>
      </c>
      <c r="HQ35" s="94" t="str">
        <f>IF(ISBLANK(fixtures!$L271),"",fixtures!$L271)</f>
        <v/>
      </c>
      <c r="HR35" s="29" t="str">
        <f>IF(ISBLANK(fixtures!$L271),"",IF(HO35&gt;HQ35,"W",IF(HO35=HQ35,"D","L")))</f>
        <v/>
      </c>
      <c r="HS35" s="29"/>
      <c r="HT35" s="29"/>
      <c r="HU35" s="97">
        <v>21</v>
      </c>
      <c r="HV35" s="31" t="s">
        <v>218</v>
      </c>
      <c r="HW35" s="278">
        <f ca="1">IFERROR(INDIRECT("fixtures!" &amp; Dashboard!J1 &amp;265) - Dashboard!K1/24,"TBC")</f>
        <v>46074.625</v>
      </c>
      <c r="HX35" s="31"/>
      <c r="HY35" s="31" t="s">
        <v>7</v>
      </c>
      <c r="HZ35" s="31" t="s">
        <v>92</v>
      </c>
      <c r="IA35" s="97" t="str">
        <f>IF(ISBLANK(fixtures!$L265),"",fixtures!$L265)</f>
        <v/>
      </c>
      <c r="IB35" s="31" t="str">
        <f>IF(ISBLANK(fixtures!$L265),"",":")</f>
        <v/>
      </c>
      <c r="IC35" s="99" t="str">
        <f>IF(ISBLANK(fixtures!$K265),"",fixtures!$K265)</f>
        <v/>
      </c>
      <c r="ID35" s="31" t="str">
        <f>IF(ISBLANK(fixtures!$L265),"",IF(IA35&gt;IC35,"W",IF(IA35=IC35,"D","L")))</f>
        <v/>
      </c>
      <c r="IE35" s="31"/>
      <c r="IF35" s="31"/>
      <c r="II35" s="112"/>
    </row>
    <row r="36" spans="1:252">
      <c r="A36" s="66">
        <v>28</v>
      </c>
      <c r="B36" s="6" t="s">
        <v>218</v>
      </c>
      <c r="C36" s="214">
        <f ca="1">IFERROR(INDIRECT("fixtures!" &amp; Dashboard!J1 &amp;272) - Dashboard!K1/24,"TBC")</f>
        <v>46081.625</v>
      </c>
      <c r="D36" s="6"/>
      <c r="E36" s="6" t="s">
        <v>6</v>
      </c>
      <c r="F36" s="6" t="s">
        <v>93</v>
      </c>
      <c r="G36" s="66" t="str">
        <f>IF(ISBLANK(fixtures!$K272),"",fixtures!$K272)</f>
        <v/>
      </c>
      <c r="H36" s="6" t="str">
        <f>IF(ISBLANK(fixtures!$L272),"",":")</f>
        <v/>
      </c>
      <c r="I36" s="68" t="str">
        <f>IF(ISBLANK(fixtures!$L272),"",fixtures!$L272)</f>
        <v/>
      </c>
      <c r="J36" s="6" t="str">
        <f>IF(ISBLANK(fixtures!$L272),"",IF(G36&gt;I36,"W",IF(G36=I36,"D","L")))</f>
        <v/>
      </c>
      <c r="K36" s="6"/>
      <c r="L36" s="6"/>
      <c r="M36" s="382">
        <v>28</v>
      </c>
      <c r="N36" s="380" t="s">
        <v>218</v>
      </c>
      <c r="O36" s="384">
        <f ca="1">IFERROR(INDIRECT("fixtures!" &amp; Dashboard!J1 &amp;281) - Dashboard!K1/24,"TBC")</f>
        <v>46081.625</v>
      </c>
      <c r="P36" s="380"/>
      <c r="Q36" s="380" t="s">
        <v>15</v>
      </c>
      <c r="R36" s="380" t="s">
        <v>92</v>
      </c>
      <c r="S36" s="382" t="str">
        <f>IF(ISBLANK(fixtures!$L281),"",fixtures!$L281)</f>
        <v/>
      </c>
      <c r="T36" s="380" t="str">
        <f>IF(ISBLANK(fixtures!$L281),"",":")</f>
        <v/>
      </c>
      <c r="U36" s="383" t="str">
        <f>IF(ISBLANK(fixtures!$K281),"",fixtures!$K281)</f>
        <v/>
      </c>
      <c r="V36" s="380" t="str">
        <f>IF(ISBLANK(fixtures!$L281),"",IF(S36&gt;U36,"W",IF(S36=U36,"D","L")))</f>
        <v/>
      </c>
      <c r="W36" s="380"/>
      <c r="X36" s="380"/>
      <c r="Y36" s="418">
        <v>28</v>
      </c>
      <c r="Z36" s="412" t="s">
        <v>218</v>
      </c>
      <c r="AA36" s="420">
        <f ca="1">IFERROR(INDIRECT("fixtures!" &amp; Dashboard!J1 &amp;273) - Dashboard!K1/24,"TBC")</f>
        <v>46081.625</v>
      </c>
      <c r="AB36" s="412"/>
      <c r="AC36" s="412" t="s">
        <v>443</v>
      </c>
      <c r="AD36" s="412" t="s">
        <v>93</v>
      </c>
      <c r="AE36" s="418" t="str">
        <f>IF(ISBLANK(fixtures!$K273),"",fixtures!$K273)</f>
        <v/>
      </c>
      <c r="AF36" s="412" t="str">
        <f>IF(ISBLANK(fixtures!$L273),"",":")</f>
        <v/>
      </c>
      <c r="AG36" s="419" t="str">
        <f>IF(ISBLANK(fixtures!$L273),"",fixtures!$L273)</f>
        <v/>
      </c>
      <c r="AH36" s="412" t="str">
        <f>IF(ISBLANK(fixtures!$L273),"",IF(AE36&gt;AG36,"W",IF(AE36=AG36,"D","L")))</f>
        <v/>
      </c>
      <c r="AI36" s="412"/>
      <c r="AJ36" s="412"/>
      <c r="AK36" s="427">
        <v>28</v>
      </c>
      <c r="AL36" s="428" t="s">
        <v>218</v>
      </c>
      <c r="AM36" s="429">
        <f ca="1">IFERROR(INDIRECT("fixtures!" &amp; Dashboard!J1 &amp;275) - Dashboard!K1/24,"TBC")</f>
        <v>46081.625</v>
      </c>
      <c r="AN36" s="413"/>
      <c r="AO36" s="413" t="s">
        <v>5</v>
      </c>
      <c r="AP36" s="413" t="s">
        <v>92</v>
      </c>
      <c r="AQ36" s="427" t="str">
        <f>IF(ISBLANK(fixtures!$L275),"",fixtures!$L275)</f>
        <v/>
      </c>
      <c r="AR36" s="413" t="str">
        <f>IF(ISBLANK(fixtures!$L275),"",":")</f>
        <v/>
      </c>
      <c r="AS36" s="428" t="str">
        <f>IF(ISBLANK(fixtures!$K275),"",fixtures!$K275)</f>
        <v/>
      </c>
      <c r="AT36" s="413" t="str">
        <f>IF(ISBLANK(fixtures!$L275),"",IF(AQ36&gt;AS36,"W",IF(AQ36=AS36,"D","L")))</f>
        <v/>
      </c>
      <c r="AU36" s="413"/>
      <c r="AV36" s="413"/>
      <c r="AW36" s="71">
        <v>28</v>
      </c>
      <c r="AX36" s="9" t="s">
        <v>218</v>
      </c>
      <c r="AY36" s="219">
        <f ca="1">IFERROR(INDIRECT("fixtures!" &amp; Dashboard!J1 &amp;274) - Dashboard!K1/24,"TBC")</f>
        <v>46081.625</v>
      </c>
      <c r="AZ36" s="9"/>
      <c r="BA36" s="9" t="s">
        <v>188</v>
      </c>
      <c r="BB36" s="9" t="s">
        <v>93</v>
      </c>
      <c r="BC36" s="71" t="str">
        <f>IF(ISBLANK(fixtures!$K274),"",fixtures!$K274)</f>
        <v/>
      </c>
      <c r="BD36" s="9" t="str">
        <f>IF(ISBLANK(fixtures!$L274),"",":")</f>
        <v/>
      </c>
      <c r="BE36" s="73" t="str">
        <f>IF(ISBLANK(fixtures!$L274),"",fixtures!$L274)</f>
        <v/>
      </c>
      <c r="BF36" s="9" t="str">
        <f>IF(ISBLANK(fixtures!$L274),"",IF(BC36&gt;BE36,"W",IF(BC36=BE36,"D","L")))</f>
        <v/>
      </c>
      <c r="BG36" s="9"/>
      <c r="BH36" s="9"/>
      <c r="BI36" s="436">
        <v>28</v>
      </c>
      <c r="BJ36" s="414" t="s">
        <v>218</v>
      </c>
      <c r="BK36" s="438">
        <f ca="1">IFERROR(INDIRECT("fixtures!" &amp; Dashboard!J1 &amp;275) - Dashboard!K1/24,"TBC")</f>
        <v>46081.625</v>
      </c>
      <c r="BL36" s="414"/>
      <c r="BM36" s="414" t="s">
        <v>107</v>
      </c>
      <c r="BN36" s="414" t="s">
        <v>93</v>
      </c>
      <c r="BO36" s="436" t="str">
        <f>IF(ISBLANK(fixtures!$K275),"",fixtures!$K275)</f>
        <v/>
      </c>
      <c r="BP36" s="414" t="str">
        <f>IF(ISBLANK(fixtures!$L275),"",":")</f>
        <v/>
      </c>
      <c r="BQ36" s="437" t="str">
        <f>IF(ISBLANK(fixtures!$L275),"",fixtures!$L275)</f>
        <v/>
      </c>
      <c r="BR36" s="414" t="str">
        <f>IF(ISBLANK(fixtures!$L275),"",IF(BO36&gt;BQ36,"W",IF(BO36=BQ36,"D","L")))</f>
        <v/>
      </c>
      <c r="BS36" s="414"/>
      <c r="BT36" s="414"/>
      <c r="BU36" s="146">
        <v>28</v>
      </c>
      <c r="BV36" s="13" t="s">
        <v>218</v>
      </c>
      <c r="BW36" s="225">
        <f ca="1">IFERROR(INDIRECT("fixtures!" &amp; Dashboard!J1 &amp;272) - Dashboard!K1/24,"TBC")</f>
        <v>46081.625</v>
      </c>
      <c r="BX36" s="13"/>
      <c r="BY36" s="13" t="s">
        <v>1</v>
      </c>
      <c r="BZ36" s="13" t="s">
        <v>92</v>
      </c>
      <c r="CA36" s="146" t="str">
        <f>IF(ISBLANK(fixtures!$L272),"",fixtures!$L272)</f>
        <v/>
      </c>
      <c r="CB36" s="13" t="str">
        <f>IF(ISBLANK(fixtures!$L272),"",":")</f>
        <v/>
      </c>
      <c r="CC36" s="148" t="str">
        <f>IF(ISBLANK(fixtures!$K272),"",fixtures!$K272)</f>
        <v/>
      </c>
      <c r="CD36" s="13" t="str">
        <f>IF(ISBLANK(fixtures!$L272),"",IF(CA36&gt;CC36,"W",IF(CA36=CC36,"D","L")))</f>
        <v/>
      </c>
      <c r="CE36" s="13"/>
      <c r="CF36" s="13"/>
      <c r="CG36" s="394">
        <v>28</v>
      </c>
      <c r="CH36" s="14" t="s">
        <v>218</v>
      </c>
      <c r="CI36" s="396">
        <f ca="1">IFERROR(INDIRECT("fixtures!" &amp; Dashboard!J1 &amp;279) - Dashboard!K1/24,"TBC")</f>
        <v>46081.625</v>
      </c>
      <c r="CJ36" s="14"/>
      <c r="CK36" s="14" t="s">
        <v>11</v>
      </c>
      <c r="CL36" s="14" t="s">
        <v>92</v>
      </c>
      <c r="CM36" s="394" t="str">
        <f>IF(ISBLANK(fixtures!$L279),"",fixtures!$L279)</f>
        <v/>
      </c>
      <c r="CN36" s="14" t="str">
        <f>IF(ISBLANK(fixtures!$L279),"",":")</f>
        <v/>
      </c>
      <c r="CO36" s="395" t="str">
        <f>IF(ISBLANK(fixtures!$K279),"",fixtures!$K279)</f>
        <v/>
      </c>
      <c r="CP36" s="14" t="str">
        <f>IF(ISBLANK(fixtures!$L279),"",IF(CM36&gt;CO36,"W",IF(CM36=CO36,"D","L")))</f>
        <v/>
      </c>
      <c r="CQ36" s="14"/>
      <c r="CR36" s="14"/>
      <c r="CS36" s="231">
        <v>28</v>
      </c>
      <c r="CT36" s="17" t="s">
        <v>218</v>
      </c>
      <c r="CU36" s="233">
        <f ca="1">IFERROR(INDIRECT("fixtures!" &amp; Dashboard!J1 &amp;280) - Dashboard!K1/24,"TBC")</f>
        <v>46081.625</v>
      </c>
      <c r="CV36" s="17"/>
      <c r="CW36" s="17" t="s">
        <v>12</v>
      </c>
      <c r="CX36" s="17" t="s">
        <v>92</v>
      </c>
      <c r="CY36" s="231" t="str">
        <f>IF(ISBLANK(fixtures!$L280),"",fixtures!$L280)</f>
        <v/>
      </c>
      <c r="CZ36" s="17" t="str">
        <f>IF(ISBLANK(fixtures!$L280),"",":")</f>
        <v/>
      </c>
      <c r="DA36" s="232" t="str">
        <f>IF(ISBLANK(fixtures!$K280),"",fixtures!$K280)</f>
        <v/>
      </c>
      <c r="DB36" s="17" t="str">
        <f>IF(ISBLANK(fixtures!$L280),"",IF(CY36&gt;DA36,"W",IF(CY36=DA36,"D","L")))</f>
        <v/>
      </c>
      <c r="DC36" s="17"/>
      <c r="DD36" s="17"/>
      <c r="DE36" s="444">
        <v>28</v>
      </c>
      <c r="DF36" s="143" t="s">
        <v>218</v>
      </c>
      <c r="DG36" s="446">
        <f ca="1">IFERROR(INDIRECT("fixtures!" &amp; Dashboard!J1 &amp;276) - Dashboard!K1/24,"TBC")</f>
        <v>46081.625</v>
      </c>
      <c r="DH36" s="143"/>
      <c r="DI36" s="143" t="s">
        <v>13</v>
      </c>
      <c r="DJ36" s="143" t="s">
        <v>93</v>
      </c>
      <c r="DK36" s="444" t="str">
        <f>IF(ISBLANK(fixtures!$K276),"",fixtures!$K276)</f>
        <v/>
      </c>
      <c r="DL36" s="143" t="str">
        <f>IF(ISBLANK(fixtures!$L276),"",":")</f>
        <v/>
      </c>
      <c r="DM36" s="445" t="str">
        <f>IF(ISBLANK(fixtures!$L276),"",fixtures!$L276)</f>
        <v/>
      </c>
      <c r="DN36" s="143" t="str">
        <f>IF(ISBLANK(fixtures!$L276),"",IF(DK36&gt;DM36,"W",IF(DK36=DM36,"D","L")))</f>
        <v/>
      </c>
      <c r="DO36" s="143"/>
      <c r="DP36" s="143"/>
      <c r="DQ36" s="382">
        <v>28</v>
      </c>
      <c r="DR36" s="380" t="s">
        <v>218</v>
      </c>
      <c r="DS36" s="384">
        <f ca="1">IFERROR(INDIRECT("fixtures!" &amp; Dashboard!J1 &amp;277) - Dashboard!K1/24,"TBC")</f>
        <v>46081.625</v>
      </c>
      <c r="DT36" s="380"/>
      <c r="DU36" s="380" t="s">
        <v>10</v>
      </c>
      <c r="DV36" s="380" t="s">
        <v>93</v>
      </c>
      <c r="DW36" s="382" t="str">
        <f>IF(ISBLANK(fixtures!$K277),"",fixtures!$K277)</f>
        <v/>
      </c>
      <c r="DX36" s="380" t="str">
        <f>IF(ISBLANK(fixtures!$L277),"",":")</f>
        <v/>
      </c>
      <c r="DY36" s="383" t="str">
        <f>IF(ISBLANK(fixtures!$L277),"",fixtures!$L277)</f>
        <v/>
      </c>
      <c r="DZ36" s="380" t="str">
        <f>IF(ISBLANK(fixtures!$L277),"",IF(DW36&gt;DY36,"W",IF(DW36=DY36,"D","L")))</f>
        <v/>
      </c>
      <c r="EA36" s="380"/>
      <c r="EB36" s="380"/>
      <c r="EC36" s="207">
        <v>28</v>
      </c>
      <c r="ED36" s="19" t="s">
        <v>218</v>
      </c>
      <c r="EE36" s="239">
        <f ca="1">IFERROR(INDIRECT("fixtures!" &amp; Dashboard!J1 &amp;278) - Dashboard!K1/24,"TBC")</f>
        <v>46081.625</v>
      </c>
      <c r="EF36" s="19"/>
      <c r="EG36" s="19" t="s">
        <v>14</v>
      </c>
      <c r="EH36" s="19" t="s">
        <v>93</v>
      </c>
      <c r="EI36" s="207" t="str">
        <f>IF(ISBLANK(fixtures!$K278),"",fixtures!$K278)</f>
        <v/>
      </c>
      <c r="EJ36" s="19" t="str">
        <f>IF(ISBLANK(fixtures!$L278),"",":")</f>
        <v/>
      </c>
      <c r="EK36" s="209" t="str">
        <f>IF(ISBLANK(fixtures!$L278),"",fixtures!$L278)</f>
        <v/>
      </c>
      <c r="EL36" s="19" t="str">
        <f>IF(ISBLANK(fixtures!$L278),"",IF(EI36&gt;EK36,"W",IF(EI36=EK36,"D","L")))</f>
        <v/>
      </c>
      <c r="EM36" s="19"/>
      <c r="EN36" s="19"/>
      <c r="EO36" s="80">
        <v>28</v>
      </c>
      <c r="EP36" s="21" t="s">
        <v>218</v>
      </c>
      <c r="EQ36" s="245">
        <f ca="1">IFERROR(INDIRECT("fixtures!" &amp; Dashboard!J1 &amp;277) - Dashboard!K1/24,"TBC")</f>
        <v>46081.625</v>
      </c>
      <c r="ER36" s="21"/>
      <c r="ES36" s="21" t="s">
        <v>444</v>
      </c>
      <c r="ET36" s="21" t="s">
        <v>92</v>
      </c>
      <c r="EU36" s="80" t="str">
        <f>IF(ISBLANK(fixtures!$L277),"",fixtures!$L277)</f>
        <v/>
      </c>
      <c r="EV36" s="21" t="str">
        <f>IF(ISBLANK(fixtures!$L277),"",":")</f>
        <v/>
      </c>
      <c r="EW36" s="82" t="str">
        <f>IF(ISBLANK(fixtures!$K277),"",fixtures!$K277)</f>
        <v/>
      </c>
      <c r="EX36" s="21" t="str">
        <f>IF(ISBLANK(fixtures!$L277),"",IF(EU36&gt;EW36,"W",IF(EU36=EW36,"D","L")))</f>
        <v/>
      </c>
      <c r="EY36" s="21"/>
      <c r="EZ36" s="21"/>
      <c r="FA36" s="251">
        <v>28</v>
      </c>
      <c r="FB36" s="23" t="s">
        <v>218</v>
      </c>
      <c r="FC36" s="253">
        <f ca="1">IFERROR(INDIRECT("fixtures!" &amp; Dashboard!J1 &amp;279) - Dashboard!K1/24,"TBC")</f>
        <v>46081.625</v>
      </c>
      <c r="FD36" s="23"/>
      <c r="FE36" s="23" t="s">
        <v>7</v>
      </c>
      <c r="FF36" s="23" t="s">
        <v>93</v>
      </c>
      <c r="FG36" s="251" t="str">
        <f>IF(ISBLANK(fixtures!$K279),"",fixtures!$K279)</f>
        <v/>
      </c>
      <c r="FH36" s="23" t="str">
        <f>IF(ISBLANK(fixtures!$L279),"",":")</f>
        <v/>
      </c>
      <c r="FI36" s="252" t="str">
        <f>IF(ISBLANK(fixtures!$L279),"",fixtures!$L279)</f>
        <v/>
      </c>
      <c r="FJ36" s="23" t="str">
        <f>IF(ISBLANK(fixtures!$L279),"",IF(FG36&gt;FI36,"W",IF(FG36=FI36,"D","L")))</f>
        <v/>
      </c>
      <c r="FK36" s="23"/>
      <c r="FL36" s="23"/>
      <c r="FM36" s="85">
        <v>28</v>
      </c>
      <c r="FN36" s="25" t="s">
        <v>218</v>
      </c>
      <c r="FO36" s="259">
        <f ca="1">IFERROR(INDIRECT("fixtures!" &amp; Dashboard!J1 &amp;280) - Dashboard!K1/24,"TBC")</f>
        <v>46081.625</v>
      </c>
      <c r="FP36" s="25"/>
      <c r="FQ36" s="25" t="s">
        <v>8</v>
      </c>
      <c r="FR36" s="25" t="s">
        <v>93</v>
      </c>
      <c r="FS36" s="85" t="str">
        <f>IF(ISBLANK(fixtures!$K280),"",fixtures!$K280)</f>
        <v/>
      </c>
      <c r="FT36" s="25" t="str">
        <f>IF(ISBLANK(fixtures!$L280),"",":")</f>
        <v/>
      </c>
      <c r="FU36" s="87" t="str">
        <f>IF(ISBLANK(fixtures!$L280),"",fixtures!$L280)</f>
        <v/>
      </c>
      <c r="FV36" s="25" t="str">
        <f>IF(ISBLANK(fixtures!$L280),"",IF(FS36&gt;FU36,"W",IF(FS36=FU36,"D","L")))</f>
        <v/>
      </c>
      <c r="FW36" s="25"/>
      <c r="FX36" s="25"/>
      <c r="FY36" s="402">
        <v>28</v>
      </c>
      <c r="FZ36" s="390" t="s">
        <v>218</v>
      </c>
      <c r="GA36" s="404">
        <f ca="1">IFERROR(INDIRECT("fixtures!" &amp; Dashboard!J1 &amp;274) - Dashboard!K1/24,"TBC")</f>
        <v>46081.625</v>
      </c>
      <c r="GB36" s="390"/>
      <c r="GC36" s="390" t="s">
        <v>4</v>
      </c>
      <c r="GD36" s="390" t="s">
        <v>92</v>
      </c>
      <c r="GE36" s="402" t="str">
        <f>IF(ISBLANK(fixtures!$L274),"",fixtures!$L274)</f>
        <v/>
      </c>
      <c r="GF36" s="390" t="str">
        <f>IF(ISBLANK(fixtures!$L274),"",":")</f>
        <v/>
      </c>
      <c r="GG36" s="403" t="str">
        <f>IF(ISBLANK(fixtures!$K274),"",fixtures!$K274)</f>
        <v/>
      </c>
      <c r="GH36" s="390" t="str">
        <f>IF(ISBLANK(fixtures!$L274),"",IF(GE36&gt;GG36,"W",IF(GE36=GG36,"D","L")))</f>
        <v/>
      </c>
      <c r="GI36" s="390"/>
      <c r="GJ36" s="390"/>
      <c r="GK36" s="89">
        <v>28</v>
      </c>
      <c r="GL36" s="27" t="s">
        <v>218</v>
      </c>
      <c r="GM36" s="266">
        <f ca="1">IFERROR(INDIRECT("fixtures!" &amp; Dashboard!J1 &amp;276) - Dashboard!K1/24,"TBC")</f>
        <v>46081.625</v>
      </c>
      <c r="GN36" s="27"/>
      <c r="GO36" s="27" t="s">
        <v>108</v>
      </c>
      <c r="GP36" s="27" t="s">
        <v>92</v>
      </c>
      <c r="GQ36" s="89" t="str">
        <f>IF(ISBLANK(fixtures!$L276),"",fixtures!$L276)</f>
        <v/>
      </c>
      <c r="GR36" s="27" t="str">
        <f>IF(ISBLANK(fixtures!$L276),"",":")</f>
        <v/>
      </c>
      <c r="GS36" s="90" t="str">
        <f>IF(ISBLANK(fixtures!$K276),"",fixtures!$K276)</f>
        <v/>
      </c>
      <c r="GT36" s="27" t="str">
        <f>IF(ISBLANK(fixtures!$L276),"",IF(GQ36&gt;GS36,"W",IF(GQ36=GS36,"D","L")))</f>
        <v/>
      </c>
      <c r="GU36" s="27"/>
      <c r="GV36" s="27"/>
      <c r="GW36" s="382">
        <v>28</v>
      </c>
      <c r="GX36" s="380" t="s">
        <v>218</v>
      </c>
      <c r="GY36" s="384">
        <f ca="1">IFERROR(INDIRECT("fixtures!" &amp; Dashboard!J1 &amp;273) - Dashboard!K1/24,"TBC")</f>
        <v>46081.625</v>
      </c>
      <c r="GZ36" s="380"/>
      <c r="HA36" s="380" t="s">
        <v>3</v>
      </c>
      <c r="HB36" s="380" t="s">
        <v>92</v>
      </c>
      <c r="HC36" s="382" t="str">
        <f>IF(ISBLANK(fixtures!$L273),"",fixtures!$L273)</f>
        <v/>
      </c>
      <c r="HD36" s="380" t="str">
        <f>IF(ISBLANK(fixtures!$L273),"",":")</f>
        <v/>
      </c>
      <c r="HE36" s="383" t="str">
        <f>IF(ISBLANK(fixtures!$K273),"",fixtures!$K273)</f>
        <v/>
      </c>
      <c r="HF36" s="380" t="str">
        <f>IF(ISBLANK(fixtures!$L273),"",IF(HC36&gt;HE36,"W",IF(HC36=HE36,"D","L")))</f>
        <v/>
      </c>
      <c r="HG36" s="380"/>
      <c r="HH36" s="380"/>
      <c r="HI36" s="92">
        <v>28</v>
      </c>
      <c r="HJ36" s="29" t="s">
        <v>218</v>
      </c>
      <c r="HK36" s="272">
        <f ca="1">IFERROR(INDIRECT("fixtures!" &amp; Dashboard!J1 &amp;278) - Dashboard!K1/24,"TBC")</f>
        <v>46081.625</v>
      </c>
      <c r="HL36" s="29"/>
      <c r="HM36" s="29" t="s">
        <v>9</v>
      </c>
      <c r="HN36" s="29" t="s">
        <v>92</v>
      </c>
      <c r="HO36" s="92" t="str">
        <f>IF(ISBLANK(fixtures!$L278),"",fixtures!$L278)</f>
        <v/>
      </c>
      <c r="HP36" s="29" t="str">
        <f>IF(ISBLANK(fixtures!$L278),"",":")</f>
        <v/>
      </c>
      <c r="HQ36" s="94" t="str">
        <f>IF(ISBLANK(fixtures!$K278),"",fixtures!$K278)</f>
        <v/>
      </c>
      <c r="HR36" s="29" t="str">
        <f>IF(ISBLANK(fixtures!$L278),"",IF(HO36&gt;HQ36,"W",IF(HO36=HQ36,"D","L")))</f>
        <v/>
      </c>
      <c r="HS36" s="29"/>
      <c r="HT36" s="29"/>
      <c r="HU36" s="97">
        <v>28</v>
      </c>
      <c r="HV36" s="31" t="s">
        <v>218</v>
      </c>
      <c r="HW36" s="278">
        <f ca="1">IFERROR(INDIRECT("fixtures!" &amp; Dashboard!J1 &amp;281) - Dashboard!K1/24,"TBC")</f>
        <v>46081.625</v>
      </c>
      <c r="HX36" s="31"/>
      <c r="HY36" s="31" t="s">
        <v>2</v>
      </c>
      <c r="HZ36" s="31" t="s">
        <v>93</v>
      </c>
      <c r="IA36" s="97" t="str">
        <f>IF(ISBLANK(fixtures!$K281),"",fixtures!$K281)</f>
        <v/>
      </c>
      <c r="IB36" s="31" t="str">
        <f>IF(ISBLANK(fixtures!$L281),"",":")</f>
        <v/>
      </c>
      <c r="IC36" s="99" t="str">
        <f>IF(ISBLANK(fixtures!$L281),"",fixtures!$L281)</f>
        <v/>
      </c>
      <c r="ID36" s="31" t="str">
        <f>IF(ISBLANK(fixtures!$L281),"",IF(IA36&gt;IC36,"W",IF(IA36=IC36,"D","L")))</f>
        <v/>
      </c>
      <c r="IE36" s="31"/>
      <c r="IF36" s="31"/>
      <c r="II36" s="112"/>
      <c r="IQ36" s="113"/>
      <c r="IR36" s="113"/>
    </row>
    <row r="37" spans="1:252">
      <c r="A37" s="215" t="s">
        <v>23</v>
      </c>
      <c r="B37" s="6"/>
      <c r="C37" s="214"/>
      <c r="D37" s="6"/>
      <c r="E37" s="6"/>
      <c r="F37" s="6"/>
      <c r="G37" s="66"/>
      <c r="H37" s="6"/>
      <c r="I37" s="68"/>
      <c r="J37" s="6"/>
      <c r="K37" s="6"/>
      <c r="L37" s="6"/>
      <c r="M37" s="385" t="s">
        <v>23</v>
      </c>
      <c r="N37" s="380"/>
      <c r="O37" s="384"/>
      <c r="P37" s="380"/>
      <c r="Q37" s="380"/>
      <c r="R37" s="380"/>
      <c r="S37" s="382"/>
      <c r="T37" s="380"/>
      <c r="U37" s="383"/>
      <c r="V37" s="380"/>
      <c r="W37" s="380"/>
      <c r="X37" s="380"/>
      <c r="Y37" s="421" t="s">
        <v>23</v>
      </c>
      <c r="Z37" s="412"/>
      <c r="AA37" s="420"/>
      <c r="AB37" s="412"/>
      <c r="AC37" s="412"/>
      <c r="AD37" s="412"/>
      <c r="AE37" s="418"/>
      <c r="AF37" s="412"/>
      <c r="AG37" s="419"/>
      <c r="AH37" s="412"/>
      <c r="AI37" s="412"/>
      <c r="AJ37" s="412"/>
      <c r="AK37" s="430" t="s">
        <v>23</v>
      </c>
      <c r="AL37" s="413"/>
      <c r="AM37" s="429"/>
      <c r="AN37" s="413"/>
      <c r="AO37" s="413"/>
      <c r="AP37" s="413"/>
      <c r="AQ37" s="427"/>
      <c r="AR37" s="413"/>
      <c r="AS37" s="428"/>
      <c r="AT37" s="413"/>
      <c r="AU37" s="413"/>
      <c r="AV37" s="413"/>
      <c r="AW37" s="220" t="s">
        <v>23</v>
      </c>
      <c r="AX37" s="9"/>
      <c r="AY37" s="219"/>
      <c r="AZ37" s="9"/>
      <c r="BA37" s="9"/>
      <c r="BB37" s="9"/>
      <c r="BC37" s="71"/>
      <c r="BD37" s="9"/>
      <c r="BE37" s="73"/>
      <c r="BF37" s="9"/>
      <c r="BG37" s="9"/>
      <c r="BH37" s="9"/>
      <c r="BI37" s="439" t="s">
        <v>23</v>
      </c>
      <c r="BJ37" s="437"/>
      <c r="BK37" s="438"/>
      <c r="BL37" s="414"/>
      <c r="BM37" s="414"/>
      <c r="BN37" s="414"/>
      <c r="BO37" s="436"/>
      <c r="BP37" s="414"/>
      <c r="BQ37" s="437"/>
      <c r="BR37" s="414"/>
      <c r="BS37" s="414"/>
      <c r="BT37" s="414"/>
      <c r="BU37" s="226" t="s">
        <v>23</v>
      </c>
      <c r="BV37" s="13"/>
      <c r="BW37" s="225"/>
      <c r="BX37" s="13"/>
      <c r="BY37" s="13"/>
      <c r="BZ37" s="13"/>
      <c r="CA37" s="146"/>
      <c r="CB37" s="13"/>
      <c r="CC37" s="148"/>
      <c r="CD37" s="13"/>
      <c r="CE37" s="13"/>
      <c r="CF37" s="13"/>
      <c r="CG37" s="397" t="s">
        <v>23</v>
      </c>
      <c r="CH37" s="14"/>
      <c r="CI37" s="396"/>
      <c r="CJ37" s="14"/>
      <c r="CK37" s="14"/>
      <c r="CL37" s="14"/>
      <c r="CM37" s="394"/>
      <c r="CN37" s="14"/>
      <c r="CO37" s="395"/>
      <c r="CP37" s="14"/>
      <c r="CQ37" s="14"/>
      <c r="CR37" s="14"/>
      <c r="CS37" s="234" t="s">
        <v>23</v>
      </c>
      <c r="CT37" s="17"/>
      <c r="CU37" s="233"/>
      <c r="CV37" s="17"/>
      <c r="CW37" s="17"/>
      <c r="CX37" s="17"/>
      <c r="CY37" s="231"/>
      <c r="CZ37" s="17"/>
      <c r="DA37" s="232"/>
      <c r="DB37" s="17"/>
      <c r="DC37" s="17"/>
      <c r="DD37" s="17"/>
      <c r="DE37" s="447" t="s">
        <v>23</v>
      </c>
      <c r="DF37" s="143"/>
      <c r="DG37" s="446"/>
      <c r="DH37" s="143"/>
      <c r="DI37" s="143"/>
      <c r="DJ37" s="143"/>
      <c r="DK37" s="444"/>
      <c r="DL37" s="143"/>
      <c r="DM37" s="445"/>
      <c r="DN37" s="143"/>
      <c r="DO37" s="143"/>
      <c r="DP37" s="143"/>
      <c r="DQ37" s="385" t="s">
        <v>23</v>
      </c>
      <c r="DR37" s="380"/>
      <c r="DS37" s="384"/>
      <c r="DT37" s="380"/>
      <c r="DU37" s="380"/>
      <c r="DV37" s="380"/>
      <c r="DW37" s="382"/>
      <c r="DX37" s="380"/>
      <c r="DY37" s="383"/>
      <c r="DZ37" s="380"/>
      <c r="EA37" s="380"/>
      <c r="EB37" s="380"/>
      <c r="EC37" s="240" t="s">
        <v>23</v>
      </c>
      <c r="ED37" s="19"/>
      <c r="EE37" s="239"/>
      <c r="EF37" s="19"/>
      <c r="EG37" s="19"/>
      <c r="EH37" s="19"/>
      <c r="EI37" s="207"/>
      <c r="EJ37" s="19"/>
      <c r="EK37" s="209"/>
      <c r="EL37" s="19"/>
      <c r="EM37" s="19"/>
      <c r="EN37" s="19"/>
      <c r="EO37" s="246" t="s">
        <v>23</v>
      </c>
      <c r="EP37" s="21"/>
      <c r="EQ37" s="245"/>
      <c r="ER37" s="21"/>
      <c r="ES37" s="21"/>
      <c r="ET37" s="21"/>
      <c r="EU37" s="80"/>
      <c r="EV37" s="21"/>
      <c r="EW37" s="82"/>
      <c r="EX37" s="21"/>
      <c r="EY37" s="21"/>
      <c r="EZ37" s="21"/>
      <c r="FA37" s="254" t="s">
        <v>23</v>
      </c>
      <c r="FB37" s="23"/>
      <c r="FC37" s="253"/>
      <c r="FD37" s="23"/>
      <c r="FE37" s="23"/>
      <c r="FF37" s="23"/>
      <c r="FG37" s="251"/>
      <c r="FH37" s="23"/>
      <c r="FI37" s="252"/>
      <c r="FJ37" s="23"/>
      <c r="FK37" s="23"/>
      <c r="FL37" s="23"/>
      <c r="FM37" s="260" t="s">
        <v>23</v>
      </c>
      <c r="FN37" s="25"/>
      <c r="FO37" s="259"/>
      <c r="FP37" s="25"/>
      <c r="FQ37" s="25"/>
      <c r="FR37" s="25"/>
      <c r="FS37" s="85"/>
      <c r="FT37" s="25"/>
      <c r="FU37" s="87"/>
      <c r="FV37" s="25"/>
      <c r="FW37" s="25"/>
      <c r="FX37" s="25"/>
      <c r="FY37" s="405" t="s">
        <v>23</v>
      </c>
      <c r="FZ37" s="390"/>
      <c r="GA37" s="404"/>
      <c r="GB37" s="390"/>
      <c r="GC37" s="390"/>
      <c r="GD37" s="390"/>
      <c r="GE37" s="402"/>
      <c r="GF37" s="390"/>
      <c r="GG37" s="403"/>
      <c r="GH37" s="390"/>
      <c r="GI37" s="390"/>
      <c r="GJ37" s="390"/>
      <c r="GK37" s="267" t="s">
        <v>23</v>
      </c>
      <c r="GL37" s="27"/>
      <c r="GM37" s="266"/>
      <c r="GN37" s="27"/>
      <c r="GO37" s="27"/>
      <c r="GP37" s="27"/>
      <c r="GQ37" s="89"/>
      <c r="GR37" s="27"/>
      <c r="GS37" s="90"/>
      <c r="GT37" s="27"/>
      <c r="GU37" s="27"/>
      <c r="GV37" s="27"/>
      <c r="GW37" s="385" t="s">
        <v>23</v>
      </c>
      <c r="GX37" s="380"/>
      <c r="GY37" s="384"/>
      <c r="GZ37" s="380"/>
      <c r="HA37" s="380"/>
      <c r="HB37" s="380"/>
      <c r="HC37" s="382"/>
      <c r="HD37" s="380"/>
      <c r="HE37" s="383"/>
      <c r="HF37" s="380"/>
      <c r="HG37" s="380"/>
      <c r="HH37" s="380"/>
      <c r="HI37" s="273" t="s">
        <v>23</v>
      </c>
      <c r="HJ37" s="29"/>
      <c r="HK37" s="272"/>
      <c r="HL37" s="29"/>
      <c r="HM37" s="29"/>
      <c r="HN37" s="29"/>
      <c r="HO37" s="92"/>
      <c r="HP37" s="29"/>
      <c r="HQ37" s="94"/>
      <c r="HR37" s="29"/>
      <c r="HS37" s="29"/>
      <c r="HT37" s="29"/>
      <c r="HU37" s="279" t="s">
        <v>23</v>
      </c>
      <c r="HV37" s="31"/>
      <c r="HW37" s="278"/>
      <c r="HX37" s="31"/>
      <c r="HY37" s="31"/>
      <c r="HZ37" s="31"/>
      <c r="IA37" s="97"/>
      <c r="IB37" s="31"/>
      <c r="IC37" s="99"/>
      <c r="ID37" s="31"/>
      <c r="IE37" s="31"/>
      <c r="IF37" s="31"/>
      <c r="II37" s="112"/>
      <c r="IQ37" s="113"/>
      <c r="IR37" s="113"/>
    </row>
    <row r="38" spans="1:252">
      <c r="A38" s="66">
        <v>4</v>
      </c>
      <c r="B38" s="6" t="s">
        <v>439</v>
      </c>
      <c r="C38" s="214">
        <f ca="1">IFERROR(INDIRECT("fixtures!" &amp; Dashboard!J1 &amp;284) - Dashboard!K1/24,"TBC")</f>
        <v>46085.833333333336</v>
      </c>
      <c r="D38" s="6"/>
      <c r="E38" s="6" t="s">
        <v>4</v>
      </c>
      <c r="F38" s="6" t="s">
        <v>92</v>
      </c>
      <c r="G38" s="66" t="str">
        <f>IF(ISBLANK(fixtures!$L284),"",fixtures!$L284)</f>
        <v/>
      </c>
      <c r="H38" s="6" t="str">
        <f>IF(ISBLANK(fixtures!$L284),"",":")</f>
        <v/>
      </c>
      <c r="I38" s="68" t="str">
        <f>IF(ISBLANK(fixtures!$K284),"",fixtures!$K284)</f>
        <v/>
      </c>
      <c r="J38" s="6" t="str">
        <f>IF(ISBLANK(fixtures!$L284),"",IF(G38&gt;I38,"W",IF(G38=I38,"D","L")))</f>
        <v/>
      </c>
      <c r="K38" s="6"/>
      <c r="L38" s="6"/>
      <c r="M38" s="382">
        <v>4</v>
      </c>
      <c r="N38" s="380" t="s">
        <v>439</v>
      </c>
      <c r="O38" s="384">
        <f ca="1">IFERROR(INDIRECT("fixtures!" &amp; Dashboard!J1 &amp;282) - Dashboard!K1/24,"TBC")</f>
        <v>46085.833333333336</v>
      </c>
      <c r="P38" s="380"/>
      <c r="Q38" s="380" t="s">
        <v>6</v>
      </c>
      <c r="R38" s="380" t="s">
        <v>93</v>
      </c>
      <c r="S38" s="382" t="str">
        <f>IF(ISBLANK(fixtures!$K282),"",fixtures!$K282)</f>
        <v/>
      </c>
      <c r="T38" s="380" t="str">
        <f>IF(ISBLANK(fixtures!$L282),"",":")</f>
        <v/>
      </c>
      <c r="U38" s="383" t="str">
        <f>IF(ISBLANK(fixtures!$L282),"",fixtures!$L282)</f>
        <v/>
      </c>
      <c r="V38" s="380" t="str">
        <f>IF(ISBLANK(fixtures!$L282),"",IF(S38&gt;U38,"W",IF(S38=U38,"D","L")))</f>
        <v/>
      </c>
      <c r="W38" s="380"/>
      <c r="X38" s="380"/>
      <c r="Y38" s="418">
        <v>4</v>
      </c>
      <c r="Z38" s="412" t="s">
        <v>439</v>
      </c>
      <c r="AA38" s="420">
        <f ca="1">IFERROR(INDIRECT("fixtures!" &amp; Dashboard!J1 &amp;283) - Dashboard!K1/24,"TBC")</f>
        <v>46085.833333333336</v>
      </c>
      <c r="AB38" s="412"/>
      <c r="AC38" s="412" t="s">
        <v>107</v>
      </c>
      <c r="AD38" s="412" t="s">
        <v>93</v>
      </c>
      <c r="AE38" s="418" t="str">
        <f>IF(ISBLANK(fixtures!$K283),"",fixtures!$K283)</f>
        <v/>
      </c>
      <c r="AF38" s="412" t="str">
        <f>IF(ISBLANK(fixtures!$L283),"",":")</f>
        <v/>
      </c>
      <c r="AG38" s="419" t="str">
        <f>IF(ISBLANK(fixtures!$L283),"",fixtures!$L283)</f>
        <v/>
      </c>
      <c r="AH38" s="412" t="str">
        <f>IF(ISBLANK(fixtures!$L283),"",IF(AE38&gt;AG38,"W",IF(AE38=AG38,"D","L")))</f>
        <v/>
      </c>
      <c r="AI38" s="412"/>
      <c r="AJ38" s="412"/>
      <c r="AK38" s="427">
        <v>4</v>
      </c>
      <c r="AL38" s="413" t="s">
        <v>439</v>
      </c>
      <c r="AM38" s="429">
        <f ca="1">IFERROR(INDIRECT("fixtures!" &amp; Dashboard!J1 &amp;283) - Dashboard!K1/24,"TBC")</f>
        <v>46085.833333333336</v>
      </c>
      <c r="AN38" s="413"/>
      <c r="AO38" s="413" t="s">
        <v>3</v>
      </c>
      <c r="AP38" s="413" t="s">
        <v>92</v>
      </c>
      <c r="AQ38" s="427" t="str">
        <f>IF(ISBLANK(fixtures!$L283),"",fixtures!$L283)</f>
        <v/>
      </c>
      <c r="AR38" s="413" t="str">
        <f>IF(ISBLANK(fixtures!$L283),"",":")</f>
        <v/>
      </c>
      <c r="AS38" s="428" t="str">
        <f>IF(ISBLANK(fixtures!$K283),"",fixtures!$K283)</f>
        <v/>
      </c>
      <c r="AT38" s="413" t="str">
        <f>IF(ISBLANK(fixtures!$L283),"",IF(AQ38&gt;AS38,"W",IF(AQ38=AS38,"D","L")))</f>
        <v/>
      </c>
      <c r="AU38" s="413"/>
      <c r="AV38" s="413"/>
      <c r="AW38" s="71">
        <v>4</v>
      </c>
      <c r="AX38" s="9" t="s">
        <v>439</v>
      </c>
      <c r="AY38" s="219">
        <f ca="1">IFERROR(INDIRECT("fixtures!" &amp; Dashboard!J1 &amp;284) - Dashboard!K1/24,"TBC")</f>
        <v>46085.833333333336</v>
      </c>
      <c r="AZ38" s="9"/>
      <c r="BA38" s="9" t="s">
        <v>1</v>
      </c>
      <c r="BB38" s="9" t="s">
        <v>93</v>
      </c>
      <c r="BC38" s="71" t="str">
        <f>IF(ISBLANK(fixtures!$K284),"",fixtures!$K284)</f>
        <v/>
      </c>
      <c r="BD38" s="9" t="str">
        <f>IF(ISBLANK(fixtures!$L284),"",":")</f>
        <v/>
      </c>
      <c r="BE38" s="73" t="str">
        <f>IF(ISBLANK(fixtures!$L284),"",fixtures!$L284)</f>
        <v/>
      </c>
      <c r="BF38" s="9" t="str">
        <f>IF(ISBLANK(fixtures!$L284),"",IF(BC38&gt;BE38,"W",IF(BC38=BE38,"D","L")))</f>
        <v/>
      </c>
      <c r="BG38" s="9"/>
      <c r="BH38" s="9"/>
      <c r="BI38" s="436">
        <v>4</v>
      </c>
      <c r="BJ38" s="414" t="s">
        <v>439</v>
      </c>
      <c r="BK38" s="438">
        <f ca="1">IFERROR(INDIRECT("fixtures!" &amp; Dashboard!J1 &amp;285) - Dashboard!K1/24,"TBC")</f>
        <v>46085.833333333336</v>
      </c>
      <c r="BL38" s="414"/>
      <c r="BM38" s="414" t="s">
        <v>8</v>
      </c>
      <c r="BN38" s="414" t="s">
        <v>92</v>
      </c>
      <c r="BO38" s="436" t="str">
        <f>IF(ISBLANK(fixtures!$L285),"",fixtures!$L285)</f>
        <v/>
      </c>
      <c r="BP38" s="414" t="str">
        <f>IF(ISBLANK(fixtures!$L285),"",":")</f>
        <v/>
      </c>
      <c r="BQ38" s="437" t="str">
        <f>IF(ISBLANK(fixtures!$K285),"",fixtures!$K285)</f>
        <v/>
      </c>
      <c r="BR38" s="414" t="str">
        <f>IF(ISBLANK(fixtures!$L285),"",IF(BO38&gt;BQ38,"W",IF(BO38=BQ38,"D","L")))</f>
        <v/>
      </c>
      <c r="BS38" s="414"/>
      <c r="BT38" s="414"/>
      <c r="BU38" s="146">
        <v>4</v>
      </c>
      <c r="BV38" s="13" t="s">
        <v>439</v>
      </c>
      <c r="BW38" s="225">
        <f ca="1">IFERROR(INDIRECT("fixtures!" &amp; Dashboard!J1 &amp;282) - Dashboard!K1/24,"TBC")</f>
        <v>46085.833333333336</v>
      </c>
      <c r="BX38" s="13"/>
      <c r="BY38" s="13" t="s">
        <v>2</v>
      </c>
      <c r="BZ38" s="13" t="s">
        <v>92</v>
      </c>
      <c r="CA38" s="146" t="str">
        <f>IF(ISBLANK(fixtures!$L282),"",fixtures!$L282)</f>
        <v/>
      </c>
      <c r="CB38" s="13" t="str">
        <f>IF(ISBLANK(fixtures!$L282),"",":")</f>
        <v/>
      </c>
      <c r="CC38" s="148" t="str">
        <f>IF(ISBLANK(fixtures!$K282),"",fixtures!$K282)</f>
        <v/>
      </c>
      <c r="CD38" s="13" t="str">
        <f>IF(ISBLANK(fixtures!$L282),"",IF(CA38&gt;CC38,"W",IF(CA38=CC38,"D","L")))</f>
        <v/>
      </c>
      <c r="CE38" s="13"/>
      <c r="CF38" s="13"/>
      <c r="CG38" s="394">
        <v>4</v>
      </c>
      <c r="CH38" s="14" t="s">
        <v>439</v>
      </c>
      <c r="CI38" s="396">
        <f ca="1">IFERROR(INDIRECT("fixtures!" &amp; Dashboard!J1 &amp;290) - Dashboard!K1/24,"TBC")</f>
        <v>46085.833333333336</v>
      </c>
      <c r="CJ38" s="14"/>
      <c r="CK38" s="14" t="s">
        <v>13</v>
      </c>
      <c r="CL38" s="14" t="s">
        <v>92</v>
      </c>
      <c r="CM38" s="394" t="str">
        <f>IF(ISBLANK(fixtures!$L290),"",fixtures!$L290)</f>
        <v/>
      </c>
      <c r="CN38" s="14" t="str">
        <f>IF(ISBLANK(fixtures!$L290),"",":")</f>
        <v/>
      </c>
      <c r="CO38" s="395" t="str">
        <f>IF(ISBLANK(fixtures!$K290),"",fixtures!$K290)</f>
        <v/>
      </c>
      <c r="CP38" s="14" t="str">
        <f>IF(ISBLANK(fixtures!$L290),"",IF(CM38&gt;CO38,"W",IF(CM38=CO38,"D","L")))</f>
        <v/>
      </c>
      <c r="CQ38" s="14"/>
      <c r="CR38" s="14"/>
      <c r="CS38" s="231">
        <v>4</v>
      </c>
      <c r="CT38" s="17" t="s">
        <v>439</v>
      </c>
      <c r="CU38" s="233">
        <f ca="1">IFERROR(INDIRECT("fixtures!" &amp; Dashboard!J1 &amp;285) - Dashboard!K1/24,"TBC")</f>
        <v>46085.833333333336</v>
      </c>
      <c r="CV38" s="17"/>
      <c r="CW38" s="17" t="s">
        <v>5</v>
      </c>
      <c r="CX38" s="17" t="s">
        <v>93</v>
      </c>
      <c r="CY38" s="231" t="str">
        <f>IF(ISBLANK(fixtures!$K285),"",fixtures!$K285)</f>
        <v/>
      </c>
      <c r="CZ38" s="17" t="str">
        <f>IF(ISBLANK(fixtures!$L285),"",":")</f>
        <v/>
      </c>
      <c r="DA38" s="232" t="str">
        <f>IF(ISBLANK(fixtures!$L285),"",fixtures!$L285)</f>
        <v/>
      </c>
      <c r="DB38" s="17" t="str">
        <f>IF(ISBLANK(fixtures!$L285),"",IF(CY38&gt;DA38,"W",IF(CY38=DA38,"D","L")))</f>
        <v/>
      </c>
      <c r="DC38" s="17"/>
      <c r="DD38" s="17"/>
      <c r="DE38" s="444">
        <v>4</v>
      </c>
      <c r="DF38" s="143" t="s">
        <v>439</v>
      </c>
      <c r="DG38" s="446">
        <f ca="1">IFERROR(INDIRECT("fixtures!" &amp; Dashboard!J1 &amp;286) - Dashboard!K1/24,"TBC")</f>
        <v>46085.833333333336</v>
      </c>
      <c r="DH38" s="143"/>
      <c r="DI38" s="143" t="s">
        <v>14</v>
      </c>
      <c r="DJ38" s="143" t="s">
        <v>93</v>
      </c>
      <c r="DK38" s="444" t="str">
        <f>IF(ISBLANK(fixtures!$K286),"",fixtures!$K286)</f>
        <v/>
      </c>
      <c r="DL38" s="143" t="str">
        <f>IF(ISBLANK(fixtures!$L286),"",":")</f>
        <v/>
      </c>
      <c r="DM38" s="445" t="str">
        <f>IF(ISBLANK(fixtures!$L286),"",fixtures!$L286)</f>
        <v/>
      </c>
      <c r="DN38" s="143" t="str">
        <f>IF(ISBLANK(fixtures!$L286),"",IF(DK38&gt;DM38,"W",IF(DK38=DM38,"D","L")))</f>
        <v/>
      </c>
      <c r="DO38" s="143"/>
      <c r="DP38" s="143"/>
      <c r="DQ38" s="382">
        <v>4</v>
      </c>
      <c r="DR38" s="383" t="s">
        <v>439</v>
      </c>
      <c r="DS38" s="384">
        <f ca="1">IFERROR(INDIRECT("fixtures!" &amp; Dashboard!J1 &amp;287) - Dashboard!K1/24,"TBC")</f>
        <v>46085.833333333336</v>
      </c>
      <c r="DT38" s="380"/>
      <c r="DU38" s="380" t="s">
        <v>443</v>
      </c>
      <c r="DV38" s="380" t="s">
        <v>93</v>
      </c>
      <c r="DW38" s="382" t="str">
        <f>IF(ISBLANK(fixtures!$K287),"",fixtures!$K287)</f>
        <v/>
      </c>
      <c r="DX38" s="380" t="str">
        <f>IF(ISBLANK(fixtures!$L287),"",":")</f>
        <v/>
      </c>
      <c r="DY38" s="383" t="str">
        <f>IF(ISBLANK(fixtures!$L287),"",fixtures!$L287)</f>
        <v/>
      </c>
      <c r="DZ38" s="380" t="str">
        <f>IF(ISBLANK(fixtures!$L287),"",IF(DW38&gt;DY38,"W",IF(DW38=DY38,"D","L")))</f>
        <v/>
      </c>
      <c r="EA38" s="380"/>
      <c r="EB38" s="380"/>
      <c r="EC38" s="207">
        <v>4</v>
      </c>
      <c r="ED38" s="19" t="s">
        <v>439</v>
      </c>
      <c r="EE38" s="239">
        <f ca="1">IFERROR(INDIRECT("fixtures!" &amp; Dashboard!J1 &amp;291) - Dashboard!K1/24,"TBC")</f>
        <v>46085.833333333336</v>
      </c>
      <c r="EF38" s="19"/>
      <c r="EG38" s="19" t="s">
        <v>15</v>
      </c>
      <c r="EH38" s="19" t="s">
        <v>92</v>
      </c>
      <c r="EI38" s="207" t="str">
        <f>IF(ISBLANK(fixtures!$L291),"",fixtures!$L291)</f>
        <v/>
      </c>
      <c r="EJ38" s="19" t="str">
        <f>IF(ISBLANK(fixtures!$L291),"",":")</f>
        <v/>
      </c>
      <c r="EK38" s="209" t="str">
        <f>IF(ISBLANK(fixtures!$K291),"",fixtures!$K291)</f>
        <v/>
      </c>
      <c r="EL38" s="19" t="str">
        <f>IF(ISBLANK(fixtures!$L291),"",IF(EI38&gt;EK38,"W",IF(EI38=EK38,"D","L")))</f>
        <v/>
      </c>
      <c r="EM38" s="19"/>
      <c r="EN38" s="19"/>
      <c r="EO38" s="80">
        <v>4</v>
      </c>
      <c r="EP38" s="21" t="s">
        <v>439</v>
      </c>
      <c r="EQ38" s="245">
        <f ca="1">IFERROR(INDIRECT("fixtures!" &amp; Dashboard!J1 &amp;288) - Dashboard!K1/24,"TBC")</f>
        <v>46085.833333333336</v>
      </c>
      <c r="ER38" s="21"/>
      <c r="ES38" s="21" t="s">
        <v>188</v>
      </c>
      <c r="ET38" s="21" t="s">
        <v>93</v>
      </c>
      <c r="EU38" s="80" t="str">
        <f>IF(ISBLANK(fixtures!$K288),"",fixtures!$K288)</f>
        <v/>
      </c>
      <c r="EV38" s="21" t="str">
        <f>IF(ISBLANK(fixtures!$L288),"",":")</f>
        <v/>
      </c>
      <c r="EW38" s="82" t="str">
        <f>IF(ISBLANK(fixtures!$L288),"",fixtures!$L288)</f>
        <v/>
      </c>
      <c r="EX38" s="21" t="str">
        <f>IF(ISBLANK(fixtures!$L288),"",IF(EU38&gt;EW38,"W",IF(EU38=EW38,"D","L")))</f>
        <v/>
      </c>
      <c r="EY38" s="21"/>
      <c r="EZ38" s="21"/>
      <c r="FA38" s="251">
        <v>4</v>
      </c>
      <c r="FB38" s="23" t="s">
        <v>439</v>
      </c>
      <c r="FC38" s="253">
        <f ca="1">IFERROR(INDIRECT("fixtures!" &amp; Dashboard!J1 &amp;289) - Dashboard!K1/24,"TBC")</f>
        <v>46085.833333333336</v>
      </c>
      <c r="FD38" s="23"/>
      <c r="FE38" s="23" t="s">
        <v>12</v>
      </c>
      <c r="FF38" s="23" t="s">
        <v>92</v>
      </c>
      <c r="FG38" s="251" t="str">
        <f>IF(ISBLANK(fixtures!$L289),"",fixtures!$L289)</f>
        <v/>
      </c>
      <c r="FH38" s="23" t="str">
        <f>IF(ISBLANK(fixtures!$L289),"",":")</f>
        <v/>
      </c>
      <c r="FI38" s="252" t="str">
        <f>IF(ISBLANK(fixtures!$K289),"",fixtures!$K289)</f>
        <v/>
      </c>
      <c r="FJ38" s="23" t="str">
        <f>IF(ISBLANK(fixtures!$L289),"",IF(FG38&gt;FI38,"W",IF(FG38=FI38,"D","L")))</f>
        <v/>
      </c>
      <c r="FK38" s="23"/>
      <c r="FL38" s="23"/>
      <c r="FM38" s="85">
        <v>4</v>
      </c>
      <c r="FN38" s="25" t="s">
        <v>439</v>
      </c>
      <c r="FO38" s="259">
        <f ca="1">IFERROR(INDIRECT("fixtures!" &amp; Dashboard!J1 &amp;289) - Dashboard!K1/24,"TBC")</f>
        <v>46085.833333333336</v>
      </c>
      <c r="FP38" s="25"/>
      <c r="FQ38" s="25" t="s">
        <v>11</v>
      </c>
      <c r="FR38" s="25" t="s">
        <v>93</v>
      </c>
      <c r="FS38" s="85" t="str">
        <f>IF(ISBLANK(fixtures!$K289),"",fixtures!$K289)</f>
        <v/>
      </c>
      <c r="FT38" s="25" t="str">
        <f>IF(ISBLANK(fixtures!$L289),"",":")</f>
        <v/>
      </c>
      <c r="FU38" s="87" t="str">
        <f>IF(ISBLANK(fixtures!$L289),"",fixtures!$L289)</f>
        <v/>
      </c>
      <c r="FV38" s="25" t="str">
        <f>IF(ISBLANK(fixtures!$L289),"",IF(FS38&gt;FU38,"W",IF(FS38=FU38,"D","L")))</f>
        <v/>
      </c>
      <c r="FW38" s="25"/>
      <c r="FX38" s="25"/>
      <c r="FY38" s="402">
        <v>4</v>
      </c>
      <c r="FZ38" s="390" t="s">
        <v>439</v>
      </c>
      <c r="GA38" s="404">
        <f ca="1">IFERROR(INDIRECT("fixtures!" &amp; Dashboard!J1 &amp;288) - Dashboard!K1/24,"TBC")</f>
        <v>46085.833333333336</v>
      </c>
      <c r="GB38" s="390"/>
      <c r="GC38" s="390" t="s">
        <v>10</v>
      </c>
      <c r="GD38" s="390" t="s">
        <v>92</v>
      </c>
      <c r="GE38" s="402" t="str">
        <f>IF(ISBLANK(fixtures!$L288),"",fixtures!$L288)</f>
        <v/>
      </c>
      <c r="GF38" s="390" t="str">
        <f>IF(ISBLANK(fixtures!$L288),"",":")</f>
        <v/>
      </c>
      <c r="GG38" s="403" t="str">
        <f>IF(ISBLANK(fixtures!$K288),"",fixtures!$K288)</f>
        <v/>
      </c>
      <c r="GH38" s="390" t="str">
        <f>IF(ISBLANK(fixtures!$L288),"",IF(GE38&gt;GG38,"W",IF(GE38=GG38,"D","L")))</f>
        <v/>
      </c>
      <c r="GI38" s="390"/>
      <c r="GJ38" s="390"/>
      <c r="GK38" s="89">
        <v>4</v>
      </c>
      <c r="GL38" s="27" t="s">
        <v>439</v>
      </c>
      <c r="GM38" s="266">
        <f ca="1">IFERROR(INDIRECT("fixtures!" &amp; Dashboard!J1 &amp;290) - Dashboard!K1/24,"TBC")</f>
        <v>46085.833333333336</v>
      </c>
      <c r="GN38" s="27"/>
      <c r="GO38" s="27" t="s">
        <v>7</v>
      </c>
      <c r="GP38" s="27" t="s">
        <v>93</v>
      </c>
      <c r="GQ38" s="89" t="str">
        <f>IF(ISBLANK(fixtures!$K290),"",fixtures!$K290)</f>
        <v/>
      </c>
      <c r="GR38" s="27" t="str">
        <f>IF(ISBLANK(fixtures!$L290),"",":")</f>
        <v/>
      </c>
      <c r="GS38" s="90" t="str">
        <f>IF(ISBLANK(fixtures!$L290),"",fixtures!$L290)</f>
        <v/>
      </c>
      <c r="GT38" s="27" t="str">
        <f>IF(ISBLANK(fixtures!$L290),"",IF(GQ38&gt;GS38,"W",IF(GQ38=GS38,"D","L")))</f>
        <v/>
      </c>
      <c r="GU38" s="27"/>
      <c r="GV38" s="27"/>
      <c r="GW38" s="382">
        <v>4</v>
      </c>
      <c r="GX38" s="380" t="s">
        <v>439</v>
      </c>
      <c r="GY38" s="384">
        <f ca="1">IFERROR(INDIRECT("fixtures!" &amp; Dashboard!J1 &amp;287) - Dashboard!K1/24,"TBC")</f>
        <v>46085.833333333336</v>
      </c>
      <c r="GZ38" s="380"/>
      <c r="HA38" s="380" t="s">
        <v>444</v>
      </c>
      <c r="HB38" s="380" t="s">
        <v>92</v>
      </c>
      <c r="HC38" s="382" t="str">
        <f>IF(ISBLANK(fixtures!$L287),"",fixtures!$L287)</f>
        <v/>
      </c>
      <c r="HD38" s="380" t="str">
        <f>IF(ISBLANK(fixtures!$L287),"",":")</f>
        <v/>
      </c>
      <c r="HE38" s="383" t="str">
        <f>IF(ISBLANK(fixtures!$K287),"",fixtures!$K287)</f>
        <v/>
      </c>
      <c r="HF38" s="380" t="str">
        <f>IF(ISBLANK(fixtures!$L287),"",IF(HC38&gt;HE38,"W",IF(HC38=HE38,"D","L")))</f>
        <v/>
      </c>
      <c r="HG38" s="380"/>
      <c r="HH38" s="380"/>
      <c r="HI38" s="92">
        <v>4</v>
      </c>
      <c r="HJ38" s="29" t="s">
        <v>439</v>
      </c>
      <c r="HK38" s="272">
        <f ca="1">IFERROR(INDIRECT("fixtures!" &amp; Dashboard!J1 &amp;286) - Dashboard!K1/24,"TBC")</f>
        <v>46085.833333333336</v>
      </c>
      <c r="HL38" s="29"/>
      <c r="HM38" s="29" t="s">
        <v>108</v>
      </c>
      <c r="HN38" s="29" t="s">
        <v>92</v>
      </c>
      <c r="HO38" s="92" t="str">
        <f>IF(ISBLANK(fixtures!$L286),"",fixtures!$L286)</f>
        <v/>
      </c>
      <c r="HP38" s="29" t="str">
        <f>IF(ISBLANK(fixtures!$L286),"",":")</f>
        <v/>
      </c>
      <c r="HQ38" s="94" t="str">
        <f>IF(ISBLANK(fixtures!$K286),"",fixtures!$K286)</f>
        <v/>
      </c>
      <c r="HR38" s="29" t="str">
        <f>IF(ISBLANK(fixtures!$L286),"",IF(HO38&gt;HQ38,"W",IF(HO38=HQ38,"D","L")))</f>
        <v/>
      </c>
      <c r="HS38" s="29"/>
      <c r="HT38" s="29"/>
      <c r="HU38" s="97">
        <v>4</v>
      </c>
      <c r="HV38" s="31" t="s">
        <v>439</v>
      </c>
      <c r="HW38" s="278">
        <f ca="1">IFERROR(INDIRECT("fixtures!" &amp; Dashboard!J1 &amp;291) - Dashboard!K1/24,"TBC")</f>
        <v>46085.833333333336</v>
      </c>
      <c r="HX38" s="31"/>
      <c r="HY38" s="31" t="s">
        <v>9</v>
      </c>
      <c r="HZ38" s="31" t="s">
        <v>93</v>
      </c>
      <c r="IA38" s="97" t="str">
        <f>IF(ISBLANK(fixtures!$K291),"",fixtures!$K291)</f>
        <v/>
      </c>
      <c r="IB38" s="31" t="str">
        <f>IF(ISBLANK(fixtures!$L291),"",":")</f>
        <v/>
      </c>
      <c r="IC38" s="99" t="str">
        <f>IF(ISBLANK(fixtures!$L291),"",fixtures!$L291)</f>
        <v/>
      </c>
      <c r="ID38" s="31" t="str">
        <f>IF(ISBLANK(fixtures!$L291),"",IF(IA38&gt;IC38,"W",IF(IA38=IC38,"D","L")))</f>
        <v/>
      </c>
      <c r="IE38" s="31"/>
      <c r="IF38" s="31"/>
      <c r="IQ38" s="113"/>
      <c r="IR38" s="113"/>
    </row>
    <row r="39" spans="1:252">
      <c r="A39" s="66">
        <v>14</v>
      </c>
      <c r="B39" s="68" t="s">
        <v>218</v>
      </c>
      <c r="C39" s="214">
        <f ca="1">IFERROR(INDIRECT("fixtures!" &amp; Dashboard!J1 &amp;292) - Dashboard!K1/24,"TBC")</f>
        <v>46095.625</v>
      </c>
      <c r="D39" s="6"/>
      <c r="E39" s="6" t="s">
        <v>8</v>
      </c>
      <c r="F39" s="6" t="s">
        <v>93</v>
      </c>
      <c r="G39" s="66" t="str">
        <f>IF(ISBLANK(fixtures!$K292),"",fixtures!$K292)</f>
        <v/>
      </c>
      <c r="H39" s="6" t="str">
        <f>IF(ISBLANK(fixtures!$L292),"",":")</f>
        <v/>
      </c>
      <c r="I39" s="68" t="str">
        <f>IF(ISBLANK(fixtures!$L292),"",fixtures!$L292)</f>
        <v/>
      </c>
      <c r="J39" s="6" t="str">
        <f>IF(ISBLANK(fixtures!$L292),"",IF(G39&gt;I39,"W",IF(G39=I39,"D","L")))</f>
        <v/>
      </c>
      <c r="K39" s="6"/>
      <c r="L39" s="6"/>
      <c r="M39" s="382">
        <v>14</v>
      </c>
      <c r="N39" s="380" t="s">
        <v>218</v>
      </c>
      <c r="O39" s="384">
        <f ca="1">IFERROR(INDIRECT("fixtures!" &amp; Dashboard!J1 &amp;298) - Dashboard!K1/24,"TBC")</f>
        <v>46095.625</v>
      </c>
      <c r="P39" s="380"/>
      <c r="Q39" s="380" t="s">
        <v>11</v>
      </c>
      <c r="R39" s="380" t="s">
        <v>92</v>
      </c>
      <c r="S39" s="382" t="str">
        <f>IF(ISBLANK(fixtures!$L298),"",fixtures!$L298)</f>
        <v/>
      </c>
      <c r="T39" s="380" t="str">
        <f>IF(ISBLANK(fixtures!$L298),"",":")</f>
        <v/>
      </c>
      <c r="U39" s="383" t="str">
        <f>IF(ISBLANK(fixtures!$K298),"",fixtures!$K298)</f>
        <v/>
      </c>
      <c r="V39" s="380" t="str">
        <f>IF(ISBLANK(fixtures!$L298),"",IF(S39&gt;U39,"W",IF(S39=U39,"D","L")))</f>
        <v/>
      </c>
      <c r="W39" s="380"/>
      <c r="X39" s="380"/>
      <c r="Y39" s="418">
        <v>14</v>
      </c>
      <c r="Z39" s="412" t="s">
        <v>218</v>
      </c>
      <c r="AA39" s="420">
        <f ca="1">IFERROR(INDIRECT("fixtures!" &amp; Dashboard!J1 &amp;294) - Dashboard!K1/24,"TBC")</f>
        <v>46095.625</v>
      </c>
      <c r="AB39" s="412"/>
      <c r="AC39" s="412" t="s">
        <v>5</v>
      </c>
      <c r="AD39" s="412" t="s">
        <v>92</v>
      </c>
      <c r="AE39" s="418" t="str">
        <f>IF(ISBLANK(fixtures!$L294),"",fixtures!$L294)</f>
        <v/>
      </c>
      <c r="AF39" s="412" t="str">
        <f>IF(ISBLANK(fixtures!$L294),"",":")</f>
        <v/>
      </c>
      <c r="AG39" s="419" t="str">
        <f>IF(ISBLANK(fixtures!$K294),"",fixtures!$K294)</f>
        <v/>
      </c>
      <c r="AH39" s="412" t="str">
        <f>IF(ISBLANK(fixtures!$L294),"",IF(AE39&gt;AG39,"W",IF(AE39=AG39,"D","L")))</f>
        <v/>
      </c>
      <c r="AI39" s="412"/>
      <c r="AJ39" s="412"/>
      <c r="AK39" s="427">
        <v>14</v>
      </c>
      <c r="AL39" s="413" t="s">
        <v>218</v>
      </c>
      <c r="AM39" s="429">
        <f ca="1">IFERROR(INDIRECT("fixtures!" &amp; Dashboard!J1 &amp;293) - Dashboard!K1/24,"TBC")</f>
        <v>46095.625</v>
      </c>
      <c r="AN39" s="413"/>
      <c r="AO39" s="413" t="s">
        <v>15</v>
      </c>
      <c r="AP39" s="413" t="s">
        <v>93</v>
      </c>
      <c r="AQ39" s="427" t="str">
        <f>IF(ISBLANK(fixtures!$K293),"",fixtures!$K293)</f>
        <v/>
      </c>
      <c r="AR39" s="413" t="str">
        <f>IF(ISBLANK(fixtures!$L293),"",":")</f>
        <v/>
      </c>
      <c r="AS39" s="428" t="str">
        <f>IF(ISBLANK(fixtures!$L293),"",fixtures!$L293)</f>
        <v/>
      </c>
      <c r="AT39" s="413" t="str">
        <f>IF(ISBLANK(fixtures!$L293),"",IF(AQ39&gt;AS39,"W",IF(AQ39=AS39,"D","L")))</f>
        <v/>
      </c>
      <c r="AU39" s="413"/>
      <c r="AV39" s="413"/>
      <c r="AW39" s="71">
        <v>14</v>
      </c>
      <c r="AX39" s="9" t="s">
        <v>218</v>
      </c>
      <c r="AY39" s="219">
        <f ca="1">IFERROR(INDIRECT("fixtures!" &amp; Dashboard!J1 &amp;300) - Dashboard!K1/24,"TBC")</f>
        <v>46095.625</v>
      </c>
      <c r="AZ39" s="9"/>
      <c r="BA39" s="9" t="s">
        <v>443</v>
      </c>
      <c r="BB39" s="9" t="s">
        <v>92</v>
      </c>
      <c r="BC39" s="71" t="str">
        <f>IF(ISBLANK(fixtures!$L300),"",fixtures!$L300)</f>
        <v/>
      </c>
      <c r="BD39" s="9" t="str">
        <f>IF(ISBLANK(fixtures!$L300),"",":")</f>
        <v/>
      </c>
      <c r="BE39" s="73" t="str">
        <f>IF(ISBLANK(fixtures!$K300),"",fixtures!$K300)</f>
        <v/>
      </c>
      <c r="BF39" s="9" t="str">
        <f>IF(ISBLANK(fixtures!$L300),"",IF(BC39&gt;BE39,"W",IF(BC39=BE39,"D","L")))</f>
        <v/>
      </c>
      <c r="BG39" s="9"/>
      <c r="BH39" s="9"/>
      <c r="BI39" s="436">
        <v>14</v>
      </c>
      <c r="BJ39" s="414" t="s">
        <v>218</v>
      </c>
      <c r="BK39" s="438">
        <f ca="1">IFERROR(INDIRECT("fixtures!" &amp; Dashboard!J1 &amp;294) - Dashboard!K1/24,"TBC")</f>
        <v>46095.625</v>
      </c>
      <c r="BL39" s="414"/>
      <c r="BM39" s="414" t="s">
        <v>3</v>
      </c>
      <c r="BN39" s="414" t="s">
        <v>93</v>
      </c>
      <c r="BO39" s="436" t="str">
        <f>IF(ISBLANK(fixtures!$K294),"",fixtures!$K294)</f>
        <v/>
      </c>
      <c r="BP39" s="414" t="str">
        <f>IF(ISBLANK(fixtures!$L294),"",":")</f>
        <v/>
      </c>
      <c r="BQ39" s="437" t="str">
        <f>IF(ISBLANK(fixtures!$L294),"",fixtures!$L294)</f>
        <v/>
      </c>
      <c r="BR39" s="414" t="str">
        <f>IF(ISBLANK(fixtures!$L294),"",IF(BO39&gt;BQ39,"W",IF(BO39=BQ39,"D","L")))</f>
        <v/>
      </c>
      <c r="BS39" s="414"/>
      <c r="BT39" s="414"/>
      <c r="BU39" s="146">
        <v>14</v>
      </c>
      <c r="BV39" s="13" t="s">
        <v>218</v>
      </c>
      <c r="BW39" s="225">
        <f ca="1">IFERROR(INDIRECT("fixtures!" &amp; Dashboard!J1 &amp;295) - Dashboard!K1/24,"TBC")</f>
        <v>46095.625</v>
      </c>
      <c r="BX39" s="13"/>
      <c r="BY39" s="13" t="s">
        <v>12</v>
      </c>
      <c r="BZ39" s="13" t="s">
        <v>93</v>
      </c>
      <c r="CA39" s="146" t="str">
        <f>IF(ISBLANK(fixtures!$K295),"",fixtures!$K295)</f>
        <v/>
      </c>
      <c r="CB39" s="13" t="str">
        <f>IF(ISBLANK(fixtures!$L295),"",":")</f>
        <v/>
      </c>
      <c r="CC39" s="148" t="str">
        <f>IF(ISBLANK(fixtures!$L295),"",fixtures!$L295)</f>
        <v/>
      </c>
      <c r="CD39" s="13" t="str">
        <f>IF(ISBLANK(fixtures!$L295),"",IF(CA39&gt;CC39,"W",IF(CA39=CC39,"D","L")))</f>
        <v/>
      </c>
      <c r="CE39" s="13"/>
      <c r="CF39" s="13"/>
      <c r="CG39" s="394">
        <v>14</v>
      </c>
      <c r="CH39" s="14" t="s">
        <v>218</v>
      </c>
      <c r="CI39" s="396">
        <f ca="1">IFERROR(INDIRECT("fixtures!" &amp; Dashboard!J1 &amp;296) - Dashboard!K1/24,"TBC")</f>
        <v>46095.625</v>
      </c>
      <c r="CJ39" s="14"/>
      <c r="CK39" s="14" t="s">
        <v>444</v>
      </c>
      <c r="CL39" s="14" t="s">
        <v>93</v>
      </c>
      <c r="CM39" s="394" t="str">
        <f>IF(ISBLANK(fixtures!$K296),"",fixtures!$K296)</f>
        <v/>
      </c>
      <c r="CN39" s="14" t="str">
        <f>IF(ISBLANK(fixtures!$L296),"",":")</f>
        <v/>
      </c>
      <c r="CO39" s="395" t="str">
        <f>IF(ISBLANK(fixtures!$L296),"",fixtures!$L296)</f>
        <v/>
      </c>
      <c r="CP39" s="14" t="str">
        <f>IF(ISBLANK(fixtures!$L296),"",IF(CM39&gt;CO39,"W",IF(CM39=CO39,"D","L")))</f>
        <v/>
      </c>
      <c r="CQ39" s="14"/>
      <c r="CR39" s="14"/>
      <c r="CS39" s="231">
        <v>14</v>
      </c>
      <c r="CT39" s="17" t="s">
        <v>218</v>
      </c>
      <c r="CU39" s="233">
        <f ca="1">IFERROR(INDIRECT("fixtures!" &amp; Dashboard!J1 &amp;292) - Dashboard!K1/24,"TBC")</f>
        <v>46095.625</v>
      </c>
      <c r="CV39" s="17"/>
      <c r="CW39" s="17" t="s">
        <v>1</v>
      </c>
      <c r="CX39" s="17" t="s">
        <v>92</v>
      </c>
      <c r="CY39" s="231" t="str">
        <f>IF(ISBLANK(fixtures!$L292),"",fixtures!$L292)</f>
        <v/>
      </c>
      <c r="CZ39" s="17" t="str">
        <f>IF(ISBLANK(fixtures!$L292),"",":")</f>
        <v/>
      </c>
      <c r="DA39" s="232" t="str">
        <f>IF(ISBLANK(fixtures!$K292),"",fixtures!$K292)</f>
        <v/>
      </c>
      <c r="DB39" s="17" t="str">
        <f>IF(ISBLANK(fixtures!$L292),"",IF(CY39&gt;DA39,"W",IF(CY39=DA39,"D","L")))</f>
        <v/>
      </c>
      <c r="DC39" s="17"/>
      <c r="DD39" s="17"/>
      <c r="DE39" s="444">
        <v>14</v>
      </c>
      <c r="DF39" s="143" t="s">
        <v>218</v>
      </c>
      <c r="DG39" s="446">
        <f ca="1">IFERROR(INDIRECT("fixtures!" &amp; Dashboard!J1 &amp;299) - Dashboard!K1/24,"TBC")</f>
        <v>46095.625</v>
      </c>
      <c r="DH39" s="143"/>
      <c r="DI39" s="143" t="s">
        <v>188</v>
      </c>
      <c r="DJ39" s="143" t="s">
        <v>92</v>
      </c>
      <c r="DK39" s="444" t="str">
        <f>IF(ISBLANK(fixtures!$L299),"",fixtures!$L299)</f>
        <v/>
      </c>
      <c r="DL39" s="143" t="str">
        <f>IF(ISBLANK(fixtures!$L299),"",":")</f>
        <v/>
      </c>
      <c r="DM39" s="445" t="str">
        <f>IF(ISBLANK(fixtures!$K299),"",fixtures!$K299)</f>
        <v/>
      </c>
      <c r="DN39" s="143" t="str">
        <f>IF(ISBLANK(fixtures!$L299),"",IF(DK39&gt;DM39,"W",IF(DK39=DM39,"D","L")))</f>
        <v/>
      </c>
      <c r="DO39" s="143"/>
      <c r="DP39" s="143"/>
      <c r="DQ39" s="382">
        <v>14</v>
      </c>
      <c r="DR39" s="380" t="s">
        <v>218</v>
      </c>
      <c r="DS39" s="384">
        <f ca="1">IFERROR(INDIRECT("fixtures!" &amp; Dashboard!J1 &amp;296) - Dashboard!K1/24,"TBC")</f>
        <v>46095.625</v>
      </c>
      <c r="DT39" s="380"/>
      <c r="DU39" s="380" t="s">
        <v>7</v>
      </c>
      <c r="DV39" s="380" t="s">
        <v>92</v>
      </c>
      <c r="DW39" s="382" t="str">
        <f>IF(ISBLANK(fixtures!$L296),"",fixtures!$L296)</f>
        <v/>
      </c>
      <c r="DX39" s="380" t="str">
        <f>IF(ISBLANK(fixtures!$L296),"",":")</f>
        <v/>
      </c>
      <c r="DY39" s="383" t="str">
        <f>IF(ISBLANK(fixtures!$K296),"",fixtures!$K296)</f>
        <v/>
      </c>
      <c r="DZ39" s="380" t="str">
        <f>IF(ISBLANK(fixtures!$L296),"",IF(DW39&gt;DY39,"W",IF(DW39=DY39,"D","L")))</f>
        <v/>
      </c>
      <c r="EA39" s="380"/>
      <c r="EB39" s="380"/>
      <c r="EC39" s="207">
        <v>14</v>
      </c>
      <c r="ED39" s="19" t="s">
        <v>218</v>
      </c>
      <c r="EE39" s="239">
        <f ca="1">IFERROR(INDIRECT("fixtures!" &amp; Dashboard!J1 &amp;297) - Dashboard!K1/24,"TBC")</f>
        <v>46095.625</v>
      </c>
      <c r="EF39" s="19"/>
      <c r="EG39" s="19" t="s">
        <v>13</v>
      </c>
      <c r="EH39" s="19" t="s">
        <v>93</v>
      </c>
      <c r="EI39" s="207" t="str">
        <f>IF(ISBLANK(fixtures!$K297),"",fixtures!$K297)</f>
        <v/>
      </c>
      <c r="EJ39" s="19" t="str">
        <f>IF(ISBLANK(fixtures!$L297),"",":")</f>
        <v/>
      </c>
      <c r="EK39" s="209" t="str">
        <f>IF(ISBLANK(fixtures!$L297),"",fixtures!$L297)</f>
        <v/>
      </c>
      <c r="EL39" s="19" t="str">
        <f>IF(ISBLANK(fixtures!$L297),"",IF(EI39&gt;EK39,"W",IF(EI39=EK39,"D","L")))</f>
        <v/>
      </c>
      <c r="EM39" s="19"/>
      <c r="EN39" s="19"/>
      <c r="EO39" s="80">
        <v>14</v>
      </c>
      <c r="EP39" s="21" t="s">
        <v>218</v>
      </c>
      <c r="EQ39" s="245">
        <f ca="1">IFERROR(INDIRECT("fixtures!" &amp; Dashboard!J1 &amp;301) - Dashboard!K1/24,"TBC")</f>
        <v>46095.625</v>
      </c>
      <c r="ER39" s="21"/>
      <c r="ES39" s="21" t="s">
        <v>14</v>
      </c>
      <c r="ET39" s="21" t="s">
        <v>92</v>
      </c>
      <c r="EU39" s="80" t="str">
        <f>IF(ISBLANK(fixtures!$L301),"",fixtures!$L301)</f>
        <v/>
      </c>
      <c r="EV39" s="21" t="str">
        <f>IF(ISBLANK(fixtures!$L301),"",":")</f>
        <v/>
      </c>
      <c r="EW39" s="82" t="str">
        <f>IF(ISBLANK(fixtures!$K301),"",fixtures!$K301)</f>
        <v/>
      </c>
      <c r="EX39" s="21" t="str">
        <f>IF(ISBLANK(fixtures!$L301),"",IF(EU39&gt;EW39,"W",IF(EU39=EW39,"D","L")))</f>
        <v/>
      </c>
      <c r="EY39" s="21"/>
      <c r="EZ39" s="21"/>
      <c r="FA39" s="251">
        <v>14</v>
      </c>
      <c r="FB39" s="23" t="s">
        <v>218</v>
      </c>
      <c r="FC39" s="253">
        <f ca="1">IFERROR(INDIRECT("fixtures!" &amp; Dashboard!J1 &amp;298) - Dashboard!K1/24,"TBC")</f>
        <v>46095.625</v>
      </c>
      <c r="FD39" s="23"/>
      <c r="FE39" s="23" t="s">
        <v>2</v>
      </c>
      <c r="FF39" s="23" t="s">
        <v>93</v>
      </c>
      <c r="FG39" s="251" t="str">
        <f>IF(ISBLANK(fixtures!$K298),"",fixtures!$K298)</f>
        <v/>
      </c>
      <c r="FH39" s="23" t="str">
        <f>IF(ISBLANK(fixtures!$L298),"",":")</f>
        <v/>
      </c>
      <c r="FI39" s="252" t="str">
        <f>IF(ISBLANK(fixtures!$L298),"",fixtures!$L298)</f>
        <v/>
      </c>
      <c r="FJ39" s="23" t="str">
        <f>IF(ISBLANK(fixtures!$L298),"",IF(FG39&gt;FI39,"W",IF(FG39=FI39,"D","L")))</f>
        <v/>
      </c>
      <c r="FK39" s="23"/>
      <c r="FL39" s="23"/>
      <c r="FM39" s="85">
        <v>14</v>
      </c>
      <c r="FN39" s="25" t="s">
        <v>218</v>
      </c>
      <c r="FO39" s="259">
        <f ca="1">IFERROR(INDIRECT("fixtures!" &amp; Dashboard!J1 &amp;295) - Dashboard!K1/24,"TBC")</f>
        <v>46095.625</v>
      </c>
      <c r="FP39" s="25"/>
      <c r="FQ39" s="25" t="s">
        <v>6</v>
      </c>
      <c r="FR39" s="25" t="s">
        <v>92</v>
      </c>
      <c r="FS39" s="85" t="str">
        <f>IF(ISBLANK(fixtures!$L295),"",fixtures!$L295)</f>
        <v/>
      </c>
      <c r="FT39" s="25" t="str">
        <f>IF(ISBLANK(fixtures!$L295),"",":")</f>
        <v/>
      </c>
      <c r="FU39" s="87" t="str">
        <f>IF(ISBLANK(fixtures!$K295),"",fixtures!$K295)</f>
        <v/>
      </c>
      <c r="FV39" s="25" t="str">
        <f>IF(ISBLANK(fixtures!$L295),"",IF(FS39&gt;FU39,"W",IF(FS39=FU39,"D","L")))</f>
        <v/>
      </c>
      <c r="FW39" s="25"/>
      <c r="FX39" s="25"/>
      <c r="FY39" s="402">
        <v>14</v>
      </c>
      <c r="FZ39" s="390" t="s">
        <v>218</v>
      </c>
      <c r="GA39" s="404">
        <f ca="1">IFERROR(INDIRECT("fixtures!" &amp; Dashboard!J1 &amp;299) - Dashboard!K1/24,"TBC")</f>
        <v>46095.625</v>
      </c>
      <c r="GB39" s="390"/>
      <c r="GC39" s="390" t="s">
        <v>108</v>
      </c>
      <c r="GD39" s="390" t="s">
        <v>93</v>
      </c>
      <c r="GE39" s="402" t="str">
        <f>IF(ISBLANK(fixtures!$K299),"",fixtures!$K299)</f>
        <v/>
      </c>
      <c r="GF39" s="390" t="str">
        <f>IF(ISBLANK(fixtures!$L299),"",":")</f>
        <v/>
      </c>
      <c r="GG39" s="403" t="str">
        <f>IF(ISBLANK(fixtures!$L299),"",fixtures!$L299)</f>
        <v/>
      </c>
      <c r="GH39" s="390" t="str">
        <f>IF(ISBLANK(fixtures!$L299),"",IF(GE39&gt;GG39,"W",IF(GE39=GG39,"D","L")))</f>
        <v/>
      </c>
      <c r="GI39" s="390"/>
      <c r="GJ39" s="390"/>
      <c r="GK39" s="89">
        <v>14</v>
      </c>
      <c r="GL39" s="27" t="s">
        <v>218</v>
      </c>
      <c r="GM39" s="266">
        <f ca="1">IFERROR(INDIRECT("fixtures!" &amp; Dashboard!J1 &amp;297) - Dashboard!K1/24,"TBC")</f>
        <v>46095.625</v>
      </c>
      <c r="GN39" s="27"/>
      <c r="GO39" s="27" t="s">
        <v>9</v>
      </c>
      <c r="GP39" s="27" t="s">
        <v>92</v>
      </c>
      <c r="GQ39" s="89" t="str">
        <f>IF(ISBLANK(fixtures!$L297),"",fixtures!$L297)</f>
        <v/>
      </c>
      <c r="GR39" s="27" t="str">
        <f>IF(ISBLANK(fixtures!$L297),"",":")</f>
        <v/>
      </c>
      <c r="GS39" s="90" t="str">
        <f>IF(ISBLANK(fixtures!$K297),"",fixtures!$K297)</f>
        <v/>
      </c>
      <c r="GT39" s="27" t="str">
        <f>IF(ISBLANK(fixtures!$L297),"",IF(GQ39&gt;GS39,"W",IF(GQ39=GS39,"D","L")))</f>
        <v/>
      </c>
      <c r="GU39" s="27"/>
      <c r="GV39" s="27"/>
      <c r="GW39" s="382">
        <v>14</v>
      </c>
      <c r="GX39" s="380" t="s">
        <v>218</v>
      </c>
      <c r="GY39" s="384">
        <f ca="1">IFERROR(INDIRECT("fixtures!" &amp; Dashboard!J1 &amp;300) - Dashboard!K1/24,"TBC")</f>
        <v>46095.625</v>
      </c>
      <c r="GZ39" s="380"/>
      <c r="HA39" s="380" t="s">
        <v>4</v>
      </c>
      <c r="HB39" s="380" t="s">
        <v>93</v>
      </c>
      <c r="HC39" s="382" t="str">
        <f>IF(ISBLANK(fixtures!$K300),"",fixtures!$K300)</f>
        <v/>
      </c>
      <c r="HD39" s="380" t="str">
        <f>IF(ISBLANK(fixtures!$L300),"",":")</f>
        <v/>
      </c>
      <c r="HE39" s="383" t="str">
        <f>IF(ISBLANK(fixtures!$L300),"",fixtures!$L300)</f>
        <v/>
      </c>
      <c r="HF39" s="380" t="str">
        <f>IF(ISBLANK(fixtures!$L300),"",IF(HC39&gt;HE39,"W",IF(HC39=HE39,"D","L")))</f>
        <v/>
      </c>
      <c r="HG39" s="380"/>
      <c r="HH39" s="380"/>
      <c r="HI39" s="92">
        <v>14</v>
      </c>
      <c r="HJ39" s="29" t="s">
        <v>218</v>
      </c>
      <c r="HK39" s="272">
        <f ca="1">IFERROR(INDIRECT("fixtures!" &amp; Dashboard!J1 &amp;301) - Dashboard!K1/24,"TBC")</f>
        <v>46095.625</v>
      </c>
      <c r="HL39" s="29"/>
      <c r="HM39" s="29" t="s">
        <v>10</v>
      </c>
      <c r="HN39" s="29" t="s">
        <v>93</v>
      </c>
      <c r="HO39" s="92" t="str">
        <f>IF(ISBLANK(fixtures!$K301),"",fixtures!$K301)</f>
        <v/>
      </c>
      <c r="HP39" s="29" t="str">
        <f>IF(ISBLANK(fixtures!$L301),"",":")</f>
        <v/>
      </c>
      <c r="HQ39" s="94" t="str">
        <f>IF(ISBLANK(fixtures!$L301),"",fixtures!$L301)</f>
        <v/>
      </c>
      <c r="HR39" s="29" t="str">
        <f>IF(ISBLANK(fixtures!$L301),"",IF(HO39&gt;HQ39,"W",IF(HO39=HQ39,"D","L")))</f>
        <v/>
      </c>
      <c r="HS39" s="29"/>
      <c r="HT39" s="29"/>
      <c r="HU39" s="97">
        <v>14</v>
      </c>
      <c r="HV39" s="31" t="s">
        <v>218</v>
      </c>
      <c r="HW39" s="278">
        <f ca="1">IFERROR(INDIRECT("fixtures!" &amp; Dashboard!J1 &amp;293) - Dashboard!K1/24,"TBC")</f>
        <v>46095.625</v>
      </c>
      <c r="HX39" s="31"/>
      <c r="HY39" s="31" t="s">
        <v>107</v>
      </c>
      <c r="HZ39" s="31" t="s">
        <v>92</v>
      </c>
      <c r="IA39" s="97" t="str">
        <f>IF(ISBLANK(fixtures!$L293),"",fixtures!$L293)</f>
        <v/>
      </c>
      <c r="IB39" s="31" t="str">
        <f>IF(ISBLANK(fixtures!$L293),"",":")</f>
        <v/>
      </c>
      <c r="IC39" s="99" t="str">
        <f>IF(ISBLANK(fixtures!$K293),"",fixtures!$K293)</f>
        <v/>
      </c>
      <c r="ID39" s="31" t="str">
        <f>IF(ISBLANK(fixtures!$L293),"",IF(IA39&gt;IC39,"W",IF(IA39=IC39,"D","L")))</f>
        <v/>
      </c>
      <c r="IE39" s="31"/>
      <c r="IF39" s="31"/>
      <c r="II39" s="112"/>
      <c r="IQ39" s="114"/>
      <c r="IR39" s="114"/>
    </row>
    <row r="40" spans="1:252">
      <c r="A40" s="66">
        <v>21</v>
      </c>
      <c r="B40" s="6" t="s">
        <v>218</v>
      </c>
      <c r="C40" s="214">
        <f ca="1">IFERROR(INDIRECT("fixtures!" &amp; Dashboard!J1 &amp;311) - Dashboard!K1/24,"TBC")</f>
        <v>46102.625</v>
      </c>
      <c r="D40" s="6"/>
      <c r="E40" s="6" t="s">
        <v>15</v>
      </c>
      <c r="F40" s="6" t="s">
        <v>92</v>
      </c>
      <c r="G40" s="66" t="str">
        <f>IF(ISBLANK(fixtures!$L311),"",fixtures!$L311)</f>
        <v/>
      </c>
      <c r="H40" s="6" t="str">
        <f>IF(ISBLANK(fixtures!$L311),"",":")</f>
        <v/>
      </c>
      <c r="I40" s="68" t="str">
        <f>IF(ISBLANK(fixtures!$K311),"",fixtures!$K311)</f>
        <v/>
      </c>
      <c r="J40" s="6" t="str">
        <f>IF(ISBLANK(fixtures!$L311),"",IF(G40&gt;I40,"W",IF(G40=I40,"D","L")))</f>
        <v/>
      </c>
      <c r="K40" s="6"/>
      <c r="L40" s="6"/>
      <c r="M40" s="382">
        <v>21</v>
      </c>
      <c r="N40" s="380" t="s">
        <v>218</v>
      </c>
      <c r="O40" s="384">
        <f ca="1">IFERROR(INDIRECT("fixtures!" &amp; Dashboard!J1 &amp;302) - Dashboard!K1/24,"TBC")</f>
        <v>46102.625</v>
      </c>
      <c r="P40" s="380"/>
      <c r="Q40" s="380" t="s">
        <v>14</v>
      </c>
      <c r="R40" s="380" t="s">
        <v>93</v>
      </c>
      <c r="S40" s="382" t="str">
        <f>IF(ISBLANK(fixtures!$K302),"",fixtures!$K302)</f>
        <v/>
      </c>
      <c r="T40" s="380" t="str">
        <f>IF(ISBLANK(fixtures!$L302),"",":")</f>
        <v/>
      </c>
      <c r="U40" s="383" t="str">
        <f>IF(ISBLANK(fixtures!$L302),"",fixtures!$L302)</f>
        <v/>
      </c>
      <c r="V40" s="380" t="str">
        <f>IF(ISBLANK(fixtures!$L302),"",IF(S40&gt;U40,"W",IF(S40=U40,"D","L")))</f>
        <v/>
      </c>
      <c r="W40" s="380"/>
      <c r="X40" s="380"/>
      <c r="Y40" s="418">
        <v>21</v>
      </c>
      <c r="Z40" s="412" t="s">
        <v>218</v>
      </c>
      <c r="AA40" s="420">
        <f ca="1">IFERROR(INDIRECT("fixtures!" &amp; Dashboard!J1 &amp;303) - Dashboard!K1/24,"TBC")</f>
        <v>46102.625</v>
      </c>
      <c r="AB40" s="412"/>
      <c r="AC40" s="412" t="s">
        <v>11</v>
      </c>
      <c r="AD40" s="412" t="s">
        <v>93</v>
      </c>
      <c r="AE40" s="418" t="str">
        <f>IF(ISBLANK(fixtures!$K303),"",fixtures!$K303)</f>
        <v/>
      </c>
      <c r="AF40" s="412" t="str">
        <f>IF(ISBLANK(fixtures!$L303),"",":")</f>
        <v/>
      </c>
      <c r="AG40" s="419" t="str">
        <f>IF(ISBLANK(fixtures!$L303),"",fixtures!$L303)</f>
        <v/>
      </c>
      <c r="AH40" s="412" t="str">
        <f>IF(ISBLANK(fixtures!$L303),"",IF(AE40&gt;AG40,"W",IF(AE40=AG40,"D","L")))</f>
        <v/>
      </c>
      <c r="AI40" s="412"/>
      <c r="AJ40" s="412"/>
      <c r="AK40" s="427">
        <v>21</v>
      </c>
      <c r="AL40" s="413" t="s">
        <v>218</v>
      </c>
      <c r="AM40" s="429">
        <f ca="1">IFERROR(INDIRECT("fixtures!" &amp; Dashboard!J1 &amp;307) - Dashboard!K1/24,"TBC")</f>
        <v>46102.625</v>
      </c>
      <c r="AN40" s="413"/>
      <c r="AO40" s="413" t="s">
        <v>444</v>
      </c>
      <c r="AP40" s="413" t="s">
        <v>92</v>
      </c>
      <c r="AQ40" s="427" t="str">
        <f>IF(ISBLANK(fixtures!$L307),"",fixtures!$L307)</f>
        <v/>
      </c>
      <c r="AR40" s="413" t="str">
        <f>IF(ISBLANK(fixtures!$L307),"",":")</f>
        <v/>
      </c>
      <c r="AS40" s="428" t="str">
        <f>IF(ISBLANK(fixtures!$K307),"",fixtures!$K307)</f>
        <v/>
      </c>
      <c r="AT40" s="413" t="str">
        <f>IF(ISBLANK(fixtures!$L307),"",IF(AQ40&gt;AS40,"W",IF(AQ40=AS40,"D","L")))</f>
        <v/>
      </c>
      <c r="AU40" s="413"/>
      <c r="AV40" s="413"/>
      <c r="AW40" s="71">
        <v>21</v>
      </c>
      <c r="AX40" s="9" t="s">
        <v>218</v>
      </c>
      <c r="AY40" s="219">
        <f ca="1">IFERROR(INDIRECT("fixtures!" &amp; Dashboard!J1 &amp;304) - Dashboard!K1/24,"TBC")</f>
        <v>46102.625</v>
      </c>
      <c r="AZ40" s="9"/>
      <c r="BA40" s="9" t="s">
        <v>9</v>
      </c>
      <c r="BB40" s="9" t="s">
        <v>93</v>
      </c>
      <c r="BC40" s="71" t="str">
        <f>IF(ISBLANK(fixtures!$K304),"",fixtures!$K304)</f>
        <v/>
      </c>
      <c r="BD40" s="9" t="str">
        <f>IF(ISBLANK(fixtures!$L304),"",":")</f>
        <v/>
      </c>
      <c r="BE40" s="73" t="str">
        <f>IF(ISBLANK(fixtures!$L304),"",fixtures!$L304)</f>
        <v/>
      </c>
      <c r="BF40" s="9" t="str">
        <f>IF(ISBLANK(fixtures!$L304),"",IF(BC40&gt;BE40,"W",IF(BC40=BE40,"D","L")))</f>
        <v/>
      </c>
      <c r="BG40" s="9"/>
      <c r="BH40" s="9"/>
      <c r="BI40" s="436">
        <v>21</v>
      </c>
      <c r="BJ40" s="414" t="s">
        <v>218</v>
      </c>
      <c r="BK40" s="438">
        <f ca="1">IFERROR(INDIRECT("fixtures!" &amp; Dashboard!J1 &amp;306) - Dashboard!K1/24,"TBC")</f>
        <v>46102.625</v>
      </c>
      <c r="BL40" s="414"/>
      <c r="BM40" s="414" t="s">
        <v>108</v>
      </c>
      <c r="BN40" s="414" t="s">
        <v>92</v>
      </c>
      <c r="BO40" s="436" t="str">
        <f>IF(ISBLANK(fixtures!$L306),"",fixtures!$L306)</f>
        <v/>
      </c>
      <c r="BP40" s="414" t="str">
        <f>IF(ISBLANK(fixtures!$L306),"",":")</f>
        <v/>
      </c>
      <c r="BQ40" s="437" t="str">
        <f>IF(ISBLANK(fixtures!$K306),"",fixtures!$K306)</f>
        <v/>
      </c>
      <c r="BR40" s="414" t="str">
        <f>IF(ISBLANK(fixtures!$L306),"",IF(BO40&gt;BQ40,"W",IF(BO40=BQ40,"D","L")))</f>
        <v/>
      </c>
      <c r="BS40" s="414"/>
      <c r="BT40" s="414"/>
      <c r="BU40" s="146">
        <v>21</v>
      </c>
      <c r="BV40" s="13" t="s">
        <v>218</v>
      </c>
      <c r="BW40" s="225">
        <f ca="1">IFERROR(INDIRECT("fixtures!" &amp; Dashboard!J1 &amp;305) - Dashboard!K1/24,"TBC")</f>
        <v>46102.625</v>
      </c>
      <c r="BX40" s="13"/>
      <c r="BY40" s="13" t="s">
        <v>8</v>
      </c>
      <c r="BZ40" s="13" t="s">
        <v>92</v>
      </c>
      <c r="CA40" s="146" t="str">
        <f>IF(ISBLANK(fixtures!$L305),"",fixtures!$L305)</f>
        <v/>
      </c>
      <c r="CB40" s="13" t="str">
        <f>IF(ISBLANK(fixtures!$L305),"",":")</f>
        <v/>
      </c>
      <c r="CC40" s="148" t="str">
        <f>IF(ISBLANK(fixtures!$K305),"",fixtures!$K305)</f>
        <v/>
      </c>
      <c r="CD40" s="13" t="str">
        <f>IF(ISBLANK(fixtures!$L305),"",IF(CA40&gt;CC40,"W",IF(CA40=CC40,"D","L")))</f>
        <v/>
      </c>
      <c r="CE40" s="13"/>
      <c r="CF40" s="13"/>
      <c r="CG40" s="394">
        <v>21</v>
      </c>
      <c r="CH40" s="14" t="s">
        <v>218</v>
      </c>
      <c r="CI40" s="396">
        <f ca="1">IFERROR(INDIRECT("fixtures!" &amp; Dashboard!J1 &amp;308) - Dashboard!K1/24,"TBC")</f>
        <v>46102.625</v>
      </c>
      <c r="CJ40" s="14"/>
      <c r="CK40" s="14" t="s">
        <v>10</v>
      </c>
      <c r="CL40" s="14" t="s">
        <v>92</v>
      </c>
      <c r="CM40" s="394" t="str">
        <f>IF(ISBLANK(fixtures!$L308),"",fixtures!$L308)</f>
        <v/>
      </c>
      <c r="CN40" s="14" t="str">
        <f>IF(ISBLANK(fixtures!$L308),"",":")</f>
        <v/>
      </c>
      <c r="CO40" s="395" t="str">
        <f>IF(ISBLANK(fixtures!$K308),"",fixtures!$K308)</f>
        <v/>
      </c>
      <c r="CP40" s="14" t="str">
        <f>IF(ISBLANK(fixtures!$L308),"",IF(CM40&gt;CO40,"W",IF(CM40=CO40,"D","L")))</f>
        <v/>
      </c>
      <c r="CQ40" s="14"/>
      <c r="CR40" s="14"/>
      <c r="CS40" s="231">
        <v>21</v>
      </c>
      <c r="CT40" s="17" t="s">
        <v>218</v>
      </c>
      <c r="CU40" s="233">
        <f ca="1">IFERROR(INDIRECT("fixtures!" &amp; Dashboard!J1 &amp;305) - Dashboard!K1/24,"TBC")</f>
        <v>46102.625</v>
      </c>
      <c r="CV40" s="17"/>
      <c r="CW40" s="17" t="s">
        <v>6</v>
      </c>
      <c r="CX40" s="17" t="s">
        <v>93</v>
      </c>
      <c r="CY40" s="231" t="str">
        <f>IF(ISBLANK(fixtures!$K305),"",fixtures!$K305)</f>
        <v/>
      </c>
      <c r="CZ40" s="17" t="str">
        <f>IF(ISBLANK(fixtures!$L305),"",":")</f>
        <v/>
      </c>
      <c r="DA40" s="232" t="str">
        <f>IF(ISBLANK(fixtures!$L305),"",fixtures!$L305)</f>
        <v/>
      </c>
      <c r="DB40" s="17" t="str">
        <f>IF(ISBLANK(fixtures!$L305),"",IF(CY40&gt;DA40,"W",IF(CY40=DA40,"D","L")))</f>
        <v/>
      </c>
      <c r="DC40" s="17"/>
      <c r="DD40" s="17"/>
      <c r="DE40" s="444">
        <v>21</v>
      </c>
      <c r="DF40" s="445" t="s">
        <v>218</v>
      </c>
      <c r="DG40" s="446">
        <f ca="1">IFERROR(INDIRECT("fixtures!" &amp; Dashboard!J1 &amp;306) - Dashboard!K1/24,"TBC")</f>
        <v>46102.625</v>
      </c>
      <c r="DH40" s="143"/>
      <c r="DI40" s="143" t="s">
        <v>5</v>
      </c>
      <c r="DJ40" s="143" t="s">
        <v>93</v>
      </c>
      <c r="DK40" s="444" t="str">
        <f>IF(ISBLANK(fixtures!$K306),"",fixtures!$K306)</f>
        <v/>
      </c>
      <c r="DL40" s="143" t="str">
        <f>IF(ISBLANK(fixtures!$L306),"",":")</f>
        <v/>
      </c>
      <c r="DM40" s="445" t="str">
        <f>IF(ISBLANK(fixtures!$L306),"",fixtures!$L306)</f>
        <v/>
      </c>
      <c r="DN40" s="143" t="str">
        <f>IF(ISBLANK(fixtures!$L306),"",IF(DK40&gt;DM40,"W",IF(DK40=DM40,"D","L")))</f>
        <v/>
      </c>
      <c r="DO40" s="143"/>
      <c r="DP40" s="143"/>
      <c r="DQ40" s="382">
        <v>21</v>
      </c>
      <c r="DR40" s="380" t="s">
        <v>218</v>
      </c>
      <c r="DS40" s="384">
        <f ca="1">IFERROR(INDIRECT("fixtures!" &amp; Dashboard!J1 &amp;307) - Dashboard!K1/24,"TBC")</f>
        <v>46102.625</v>
      </c>
      <c r="DT40" s="380"/>
      <c r="DU40" s="380" t="s">
        <v>107</v>
      </c>
      <c r="DV40" s="380" t="s">
        <v>93</v>
      </c>
      <c r="DW40" s="382" t="str">
        <f>IF(ISBLANK(fixtures!$K307),"",fixtures!$K307)</f>
        <v/>
      </c>
      <c r="DX40" s="380" t="str">
        <f>IF(ISBLANK(fixtures!$L307),"",":")</f>
        <v/>
      </c>
      <c r="DY40" s="383" t="str">
        <f>IF(ISBLANK(fixtures!$L307),"",fixtures!$L307)</f>
        <v/>
      </c>
      <c r="DZ40" s="380" t="str">
        <f>IF(ISBLANK(fixtures!$L307),"",IF(DW40&gt;DY40,"W",IF(DW40=DY40,"D","L")))</f>
        <v/>
      </c>
      <c r="EA40" s="380"/>
      <c r="EB40" s="380"/>
      <c r="EC40" s="207">
        <v>21</v>
      </c>
      <c r="ED40" s="19" t="s">
        <v>218</v>
      </c>
      <c r="EE40" s="239">
        <f ca="1">IFERROR(INDIRECT("fixtures!" &amp; Dashboard!J1 &amp;304) - Dashboard!K1/24,"TBC")</f>
        <v>46102.625</v>
      </c>
      <c r="EF40" s="19"/>
      <c r="EG40" s="19" t="s">
        <v>4</v>
      </c>
      <c r="EH40" s="19" t="s">
        <v>92</v>
      </c>
      <c r="EI40" s="207" t="str">
        <f>IF(ISBLANK(fixtures!$L304),"",fixtures!$L304)</f>
        <v/>
      </c>
      <c r="EJ40" s="19" t="str">
        <f>IF(ISBLANK(fixtures!$L304),"",":")</f>
        <v/>
      </c>
      <c r="EK40" s="209" t="str">
        <f>IF(ISBLANK(fixtures!$K304),"",fixtures!$K304)</f>
        <v/>
      </c>
      <c r="EL40" s="19" t="str">
        <f>IF(ISBLANK(fixtures!$L304),"",IF(EI40&gt;EK40,"W",IF(EI40=EK40,"D","L")))</f>
        <v/>
      </c>
      <c r="EM40" s="19"/>
      <c r="EN40" s="19"/>
      <c r="EO40" s="80">
        <v>21</v>
      </c>
      <c r="EP40" s="21" t="s">
        <v>218</v>
      </c>
      <c r="EQ40" s="245">
        <f ca="1">IFERROR(INDIRECT("fixtures!" &amp; Dashboard!J1 &amp;308) - Dashboard!K1/24,"TBC")</f>
        <v>46102.625</v>
      </c>
      <c r="ER40" s="21"/>
      <c r="ES40" s="21" t="s">
        <v>7</v>
      </c>
      <c r="ET40" s="21" t="s">
        <v>93</v>
      </c>
      <c r="EU40" s="80" t="str">
        <f>IF(ISBLANK(fixtures!$K308),"",fixtures!$K308)</f>
        <v/>
      </c>
      <c r="EV40" s="21" t="str">
        <f>IF(ISBLANK(fixtures!$L308),"",":")</f>
        <v/>
      </c>
      <c r="EW40" s="82" t="str">
        <f>IF(ISBLANK(fixtures!$L308),"",fixtures!$L308)</f>
        <v/>
      </c>
      <c r="EX40" s="21" t="str">
        <f>IF(ISBLANK(fixtures!$L308),"",IF(EU40&gt;EW40,"W",IF(EU40=EW40,"D","L")))</f>
        <v/>
      </c>
      <c r="EY40" s="21"/>
      <c r="EZ40" s="21"/>
      <c r="FA40" s="251">
        <v>21</v>
      </c>
      <c r="FB40" s="23" t="s">
        <v>218</v>
      </c>
      <c r="FC40" s="253">
        <f ca="1">IFERROR(INDIRECT("fixtures!" &amp; Dashboard!J1 &amp;303) - Dashboard!K1/24,"TBC")</f>
        <v>46102.625</v>
      </c>
      <c r="FD40" s="23"/>
      <c r="FE40" s="23" t="s">
        <v>3</v>
      </c>
      <c r="FF40" s="23" t="s">
        <v>92</v>
      </c>
      <c r="FG40" s="251" t="str">
        <f>IF(ISBLANK(fixtures!$L303),"",fixtures!$L303)</f>
        <v/>
      </c>
      <c r="FH40" s="23" t="str">
        <f>IF(ISBLANK(fixtures!$L303),"",":")</f>
        <v/>
      </c>
      <c r="FI40" s="252" t="str">
        <f>IF(ISBLANK(fixtures!$K303),"",fixtures!$K303)</f>
        <v/>
      </c>
      <c r="FJ40" s="23" t="str">
        <f>IF(ISBLANK(fixtures!$L303),"",IF(FG40&gt;FI40,"W",IF(FG40=FI40,"D","L")))</f>
        <v/>
      </c>
      <c r="FK40" s="23"/>
      <c r="FL40" s="23"/>
      <c r="FM40" s="85">
        <v>21</v>
      </c>
      <c r="FN40" s="25" t="s">
        <v>218</v>
      </c>
      <c r="FO40" s="259">
        <f ca="1">IFERROR(INDIRECT("fixtures!" &amp; Dashboard!J1 &amp;309) - Dashboard!K1/24,"TBC")</f>
        <v>46102.625</v>
      </c>
      <c r="FP40" s="25"/>
      <c r="FQ40" s="25" t="s">
        <v>443</v>
      </c>
      <c r="FR40" s="25" t="s">
        <v>93</v>
      </c>
      <c r="FS40" s="85" t="str">
        <f>IF(ISBLANK(fixtures!$K309),"",fixtures!$K309)</f>
        <v/>
      </c>
      <c r="FT40" s="25" t="str">
        <f>IF(ISBLANK(fixtures!$L309),"",":")</f>
        <v/>
      </c>
      <c r="FU40" s="87" t="str">
        <f>IF(ISBLANK(fixtures!$L309),"",fixtures!$L309)</f>
        <v/>
      </c>
      <c r="FV40" s="25" t="str">
        <f>IF(ISBLANK(fixtures!$L309),"",IF(FS40&gt;FU40,"W",IF(FS40=FU40,"D","L")))</f>
        <v/>
      </c>
      <c r="FW40" s="25"/>
      <c r="FX40" s="25"/>
      <c r="FY40" s="402">
        <v>21</v>
      </c>
      <c r="FZ40" s="390" t="s">
        <v>218</v>
      </c>
      <c r="GA40" s="404">
        <f ca="1">IFERROR(INDIRECT("fixtures!" &amp; Dashboard!J1 &amp;310) - Dashboard!K1/24,"TBC")</f>
        <v>46102.625</v>
      </c>
      <c r="GB40" s="390"/>
      <c r="GC40" s="390" t="s">
        <v>13</v>
      </c>
      <c r="GD40" s="390" t="s">
        <v>92</v>
      </c>
      <c r="GE40" s="402" t="str">
        <f>IF(ISBLANK(fixtures!$L310),"",fixtures!$L310)</f>
        <v/>
      </c>
      <c r="GF40" s="390" t="str">
        <f>IF(ISBLANK(fixtures!$L310),"",":")</f>
        <v/>
      </c>
      <c r="GG40" s="403" t="str">
        <f>IF(ISBLANK(fixtures!$K310),"",fixtures!$K310)</f>
        <v/>
      </c>
      <c r="GH40" s="390" t="str">
        <f>IF(ISBLANK(fixtures!$L310),"",IF(GE40&gt;GG40,"W",IF(GE40=GG40,"D","L")))</f>
        <v/>
      </c>
      <c r="GI40" s="390"/>
      <c r="GJ40" s="390"/>
      <c r="GK40" s="89">
        <v>21</v>
      </c>
      <c r="GL40" s="27" t="s">
        <v>218</v>
      </c>
      <c r="GM40" s="266">
        <f ca="1">IFERROR(INDIRECT("fixtures!" &amp; Dashboard!J1 &amp;310) - Dashboard!K1/24,"TBC")</f>
        <v>46102.625</v>
      </c>
      <c r="GN40" s="27"/>
      <c r="GO40" s="27" t="s">
        <v>188</v>
      </c>
      <c r="GP40" s="27" t="s">
        <v>93</v>
      </c>
      <c r="GQ40" s="89" t="str">
        <f>IF(ISBLANK(fixtures!$K310),"",fixtures!$K310)</f>
        <v/>
      </c>
      <c r="GR40" s="27" t="str">
        <f>IF(ISBLANK(fixtures!$L310),"",":")</f>
        <v/>
      </c>
      <c r="GS40" s="90" t="str">
        <f>IF(ISBLANK(fixtures!$L310),"",fixtures!$L310)</f>
        <v/>
      </c>
      <c r="GT40" s="27" t="str">
        <f>IF(ISBLANK(fixtures!$L310),"",IF(GQ40&gt;GS40,"W",IF(GQ40=GS40,"D","L")))</f>
        <v/>
      </c>
      <c r="GU40" s="27"/>
      <c r="GV40" s="27"/>
      <c r="GW40" s="382">
        <v>21</v>
      </c>
      <c r="GX40" s="380" t="s">
        <v>218</v>
      </c>
      <c r="GY40" s="384">
        <f ca="1">IFERROR(INDIRECT("fixtures!" &amp; Dashboard!J1 &amp;309) - Dashboard!K1/24,"TBC")</f>
        <v>46102.625</v>
      </c>
      <c r="GZ40" s="380"/>
      <c r="HA40" s="380" t="s">
        <v>12</v>
      </c>
      <c r="HB40" s="380" t="s">
        <v>92</v>
      </c>
      <c r="HC40" s="382" t="str">
        <f>IF(ISBLANK(fixtures!$L309),"",fixtures!$L309)</f>
        <v/>
      </c>
      <c r="HD40" s="380" t="str">
        <f>IF(ISBLANK(fixtures!$L309),"",":")</f>
        <v/>
      </c>
      <c r="HE40" s="383" t="str">
        <f>IF(ISBLANK(fixtures!$K309),"",fixtures!$K309)</f>
        <v/>
      </c>
      <c r="HF40" s="380" t="str">
        <f>IF(ISBLANK(fixtures!$L309),"",IF(HC40&gt;HE40,"W",IF(HC40=HE40,"D","L")))</f>
        <v/>
      </c>
      <c r="HG40" s="380"/>
      <c r="HH40" s="380"/>
      <c r="HI40" s="92">
        <v>21</v>
      </c>
      <c r="HJ40" s="29" t="s">
        <v>218</v>
      </c>
      <c r="HK40" s="272">
        <f ca="1">IFERROR(INDIRECT("fixtures!" &amp; Dashboard!J1 &amp;302) - Dashboard!K1/24,"TBC")</f>
        <v>46102.625</v>
      </c>
      <c r="HL40" s="29"/>
      <c r="HM40" s="29" t="s">
        <v>2</v>
      </c>
      <c r="HN40" s="29" t="s">
        <v>92</v>
      </c>
      <c r="HO40" s="92" t="str">
        <f>IF(ISBLANK(fixtures!$L302),"",fixtures!$L302)</f>
        <v/>
      </c>
      <c r="HP40" s="29" t="str">
        <f>IF(ISBLANK(fixtures!$L302),"",":")</f>
        <v/>
      </c>
      <c r="HQ40" s="94" t="str">
        <f>IF(ISBLANK(fixtures!$K302),"",fixtures!$K302)</f>
        <v/>
      </c>
      <c r="HR40" s="29" t="str">
        <f>IF(ISBLANK(fixtures!$L302),"",IF(HO40&gt;HQ40,"W",IF(HO40=HQ40,"D","L")))</f>
        <v/>
      </c>
      <c r="HS40" s="29"/>
      <c r="HT40" s="29"/>
      <c r="HU40" s="97">
        <v>21</v>
      </c>
      <c r="HV40" s="31" t="s">
        <v>218</v>
      </c>
      <c r="HW40" s="278">
        <f ca="1">IFERROR(INDIRECT("fixtures!" &amp; Dashboard!J1 &amp;311) - Dashboard!K1/24,"TBC")</f>
        <v>46102.625</v>
      </c>
      <c r="HX40" s="31"/>
      <c r="HY40" s="31" t="s">
        <v>1</v>
      </c>
      <c r="HZ40" s="31" t="s">
        <v>93</v>
      </c>
      <c r="IA40" s="97" t="str">
        <f>IF(ISBLANK(fixtures!$K311),"",fixtures!$K311)</f>
        <v/>
      </c>
      <c r="IB40" s="31" t="str">
        <f>IF(ISBLANK(fixtures!$L311),"",":")</f>
        <v/>
      </c>
      <c r="IC40" s="99" t="str">
        <f>IF(ISBLANK(fixtures!$L311),"",fixtures!$L311)</f>
        <v/>
      </c>
      <c r="ID40" s="31" t="str">
        <f>IF(ISBLANK(fixtures!$L311),"",IF(IA40&gt;IC40,"W",IF(IA40=IC40,"D","L")))</f>
        <v/>
      </c>
      <c r="IE40" s="31"/>
      <c r="IF40" s="31"/>
      <c r="II40" s="112"/>
      <c r="IQ40" s="113"/>
      <c r="IR40" s="113"/>
    </row>
    <row r="41" spans="1:252">
      <c r="A41" s="215" t="s">
        <v>24</v>
      </c>
      <c r="B41" s="6"/>
      <c r="C41" s="214"/>
      <c r="D41" s="6"/>
      <c r="E41" s="6"/>
      <c r="F41" s="6"/>
      <c r="G41" s="66"/>
      <c r="H41" s="6"/>
      <c r="I41" s="68"/>
      <c r="J41" s="6"/>
      <c r="K41" s="6"/>
      <c r="L41" s="6"/>
      <c r="M41" s="385" t="s">
        <v>24</v>
      </c>
      <c r="N41" s="380"/>
      <c r="O41" s="384"/>
      <c r="P41" s="380"/>
      <c r="Q41" s="380"/>
      <c r="R41" s="380"/>
      <c r="S41" s="382"/>
      <c r="T41" s="380"/>
      <c r="U41" s="383"/>
      <c r="V41" s="380"/>
      <c r="W41" s="380"/>
      <c r="X41" s="380"/>
      <c r="Y41" s="421" t="s">
        <v>24</v>
      </c>
      <c r="Z41" s="412"/>
      <c r="AA41" s="420"/>
      <c r="AB41" s="412"/>
      <c r="AC41" s="412"/>
      <c r="AD41" s="412"/>
      <c r="AE41" s="418"/>
      <c r="AF41" s="412"/>
      <c r="AG41" s="419"/>
      <c r="AH41" s="412"/>
      <c r="AI41" s="412"/>
      <c r="AJ41" s="412"/>
      <c r="AK41" s="430" t="s">
        <v>24</v>
      </c>
      <c r="AL41" s="413"/>
      <c r="AM41" s="429"/>
      <c r="AN41" s="413"/>
      <c r="AO41" s="413"/>
      <c r="AP41" s="413"/>
      <c r="AQ41" s="427"/>
      <c r="AR41" s="413"/>
      <c r="AS41" s="428"/>
      <c r="AT41" s="413"/>
      <c r="AU41" s="413"/>
      <c r="AV41" s="413"/>
      <c r="AW41" s="220" t="s">
        <v>24</v>
      </c>
      <c r="AX41" s="9"/>
      <c r="AY41" s="219"/>
      <c r="AZ41" s="9"/>
      <c r="BA41" s="9"/>
      <c r="BB41" s="9"/>
      <c r="BC41" s="71"/>
      <c r="BD41" s="9"/>
      <c r="BE41" s="73"/>
      <c r="BF41" s="9"/>
      <c r="BG41" s="9"/>
      <c r="BH41" s="9"/>
      <c r="BI41" s="439" t="s">
        <v>24</v>
      </c>
      <c r="BJ41" s="414"/>
      <c r="BK41" s="438"/>
      <c r="BL41" s="414"/>
      <c r="BM41" s="414"/>
      <c r="BN41" s="414"/>
      <c r="BO41" s="436"/>
      <c r="BP41" s="414"/>
      <c r="BQ41" s="437"/>
      <c r="BR41" s="414"/>
      <c r="BS41" s="414"/>
      <c r="BT41" s="414"/>
      <c r="BU41" s="226" t="s">
        <v>24</v>
      </c>
      <c r="BV41" s="13"/>
      <c r="BW41" s="225"/>
      <c r="BX41" s="13"/>
      <c r="BY41" s="13"/>
      <c r="BZ41" s="13"/>
      <c r="CA41" s="146"/>
      <c r="CB41" s="13"/>
      <c r="CC41" s="148"/>
      <c r="CD41" s="13"/>
      <c r="CE41" s="13"/>
      <c r="CF41" s="13"/>
      <c r="CG41" s="397" t="s">
        <v>24</v>
      </c>
      <c r="CH41" s="14"/>
      <c r="CI41" s="396"/>
      <c r="CJ41" s="14"/>
      <c r="CK41" s="14"/>
      <c r="CL41" s="14"/>
      <c r="CM41" s="394"/>
      <c r="CN41" s="14"/>
      <c r="CO41" s="395"/>
      <c r="CP41" s="14"/>
      <c r="CQ41" s="14"/>
      <c r="CR41" s="14"/>
      <c r="CS41" s="234" t="s">
        <v>24</v>
      </c>
      <c r="CT41" s="17"/>
      <c r="CU41" s="233"/>
      <c r="CV41" s="17"/>
      <c r="CW41" s="17"/>
      <c r="CX41" s="17"/>
      <c r="CY41" s="231"/>
      <c r="CZ41" s="17"/>
      <c r="DA41" s="232"/>
      <c r="DB41" s="17"/>
      <c r="DC41" s="17"/>
      <c r="DD41" s="17"/>
      <c r="DE41" s="447" t="s">
        <v>24</v>
      </c>
      <c r="DF41" s="143"/>
      <c r="DG41" s="446"/>
      <c r="DH41" s="143"/>
      <c r="DI41" s="143"/>
      <c r="DJ41" s="143"/>
      <c r="DK41" s="444"/>
      <c r="DL41" s="143"/>
      <c r="DM41" s="445"/>
      <c r="DN41" s="143"/>
      <c r="DO41" s="143"/>
      <c r="DP41" s="143"/>
      <c r="DQ41" s="385" t="s">
        <v>24</v>
      </c>
      <c r="DR41" s="380"/>
      <c r="DS41" s="384"/>
      <c r="DT41" s="380"/>
      <c r="DU41" s="380"/>
      <c r="DV41" s="380"/>
      <c r="DW41" s="382"/>
      <c r="DX41" s="380"/>
      <c r="DY41" s="383"/>
      <c r="DZ41" s="380"/>
      <c r="EA41" s="380"/>
      <c r="EB41" s="380"/>
      <c r="EC41" s="240" t="s">
        <v>24</v>
      </c>
      <c r="ED41" s="19"/>
      <c r="EE41" s="239"/>
      <c r="EF41" s="19"/>
      <c r="EG41" s="19"/>
      <c r="EH41" s="19"/>
      <c r="EI41" s="207"/>
      <c r="EJ41" s="19"/>
      <c r="EK41" s="209"/>
      <c r="EL41" s="19"/>
      <c r="EM41" s="19"/>
      <c r="EN41" s="19"/>
      <c r="EO41" s="246" t="s">
        <v>24</v>
      </c>
      <c r="EP41" s="21"/>
      <c r="EQ41" s="245"/>
      <c r="ER41" s="21"/>
      <c r="ES41" s="21"/>
      <c r="ET41" s="21"/>
      <c r="EU41" s="80"/>
      <c r="EV41" s="21"/>
      <c r="EW41" s="82"/>
      <c r="EX41" s="21"/>
      <c r="EY41" s="21"/>
      <c r="EZ41" s="21"/>
      <c r="FA41" s="254" t="s">
        <v>24</v>
      </c>
      <c r="FB41" s="23"/>
      <c r="FC41" s="253"/>
      <c r="FD41" s="23"/>
      <c r="FE41" s="23"/>
      <c r="FF41" s="23"/>
      <c r="FG41" s="251"/>
      <c r="FH41" s="23"/>
      <c r="FI41" s="252"/>
      <c r="FJ41" s="23"/>
      <c r="FK41" s="23"/>
      <c r="FL41" s="23"/>
      <c r="FM41" s="260" t="s">
        <v>24</v>
      </c>
      <c r="FN41" s="25"/>
      <c r="FO41" s="259"/>
      <c r="FP41" s="25"/>
      <c r="FQ41" s="25"/>
      <c r="FR41" s="25"/>
      <c r="FS41" s="85"/>
      <c r="FT41" s="25"/>
      <c r="FU41" s="87"/>
      <c r="FV41" s="25"/>
      <c r="FW41" s="25"/>
      <c r="FX41" s="25"/>
      <c r="FY41" s="405" t="s">
        <v>24</v>
      </c>
      <c r="FZ41" s="390"/>
      <c r="GA41" s="404"/>
      <c r="GB41" s="390"/>
      <c r="GC41" s="390"/>
      <c r="GD41" s="390"/>
      <c r="GE41" s="402"/>
      <c r="GF41" s="390"/>
      <c r="GG41" s="403"/>
      <c r="GH41" s="390"/>
      <c r="GI41" s="390"/>
      <c r="GJ41" s="390"/>
      <c r="GK41" s="267" t="s">
        <v>24</v>
      </c>
      <c r="GL41" s="27"/>
      <c r="GM41" s="266"/>
      <c r="GN41" s="27"/>
      <c r="GO41" s="27"/>
      <c r="GP41" s="27"/>
      <c r="GQ41" s="89"/>
      <c r="GR41" s="27"/>
      <c r="GS41" s="90"/>
      <c r="GT41" s="27"/>
      <c r="GU41" s="27"/>
      <c r="GV41" s="27"/>
      <c r="GW41" s="385" t="s">
        <v>24</v>
      </c>
      <c r="GX41" s="380"/>
      <c r="GY41" s="384"/>
      <c r="GZ41" s="380"/>
      <c r="HA41" s="380"/>
      <c r="HB41" s="380"/>
      <c r="HC41" s="382"/>
      <c r="HD41" s="380"/>
      <c r="HE41" s="383"/>
      <c r="HF41" s="380"/>
      <c r="HG41" s="380"/>
      <c r="HH41" s="380"/>
      <c r="HI41" s="273" t="s">
        <v>24</v>
      </c>
      <c r="HJ41" s="29"/>
      <c r="HK41" s="272"/>
      <c r="HL41" s="29"/>
      <c r="HM41" s="29"/>
      <c r="HN41" s="29"/>
      <c r="HO41" s="92"/>
      <c r="HP41" s="29"/>
      <c r="HQ41" s="94"/>
      <c r="HR41" s="29"/>
      <c r="HS41" s="29"/>
      <c r="HT41" s="29"/>
      <c r="HU41" s="279" t="s">
        <v>24</v>
      </c>
      <c r="HV41" s="31"/>
      <c r="HW41" s="278"/>
      <c r="HX41" s="31"/>
      <c r="HY41" s="31"/>
      <c r="HZ41" s="31"/>
      <c r="IA41" s="97"/>
      <c r="IB41" s="31"/>
      <c r="IC41" s="99"/>
      <c r="ID41" s="31"/>
      <c r="IE41" s="31"/>
      <c r="IF41" s="31"/>
    </row>
    <row r="42" spans="1:252">
      <c r="A42" s="66">
        <v>11</v>
      </c>
      <c r="B42" s="68" t="s">
        <v>218</v>
      </c>
      <c r="C42" s="214">
        <f ca="1">IFERROR(INDIRECT("fixtures!" &amp; Dashboard!J1 &amp;312) - Dashboard!K1/24,"TBC")</f>
        <v>46123.625</v>
      </c>
      <c r="D42" s="6"/>
      <c r="E42" s="6" t="s">
        <v>3</v>
      </c>
      <c r="F42" s="6" t="s">
        <v>93</v>
      </c>
      <c r="G42" s="66" t="str">
        <f>IF(ISBLANK(fixtures!$K312),"",fixtures!$K312)</f>
        <v/>
      </c>
      <c r="H42" s="6" t="str">
        <f>IF(ISBLANK(fixtures!$L312),"",":")</f>
        <v/>
      </c>
      <c r="I42" s="68" t="str">
        <f>IF(ISBLANK(fixtures!$L312),"",fixtures!$L312)</f>
        <v/>
      </c>
      <c r="J42" s="6" t="str">
        <f>IF(ISBLANK(fixtures!$L312),"",IF(G42&gt;I42,"W",IF(G42=I42,"D","L")))</f>
        <v/>
      </c>
      <c r="K42" s="6"/>
      <c r="L42" s="6"/>
      <c r="M42" s="382">
        <v>11</v>
      </c>
      <c r="N42" s="383" t="s">
        <v>218</v>
      </c>
      <c r="O42" s="384">
        <f ca="1">IFERROR(INDIRECT("fixtures!" &amp; Dashboard!J1 &amp;319) - Dashboard!K1/24,"TBC")</f>
        <v>46123.625</v>
      </c>
      <c r="P42" s="380"/>
      <c r="Q42" s="380" t="s">
        <v>188</v>
      </c>
      <c r="R42" s="380" t="s">
        <v>92</v>
      </c>
      <c r="S42" s="382" t="str">
        <f>IF(ISBLANK(fixtures!$L319),"",fixtures!$L319)</f>
        <v/>
      </c>
      <c r="T42" s="380" t="str">
        <f>IF(ISBLANK(fixtures!$L319),"",":")</f>
        <v/>
      </c>
      <c r="U42" s="383" t="str">
        <f>IF(ISBLANK(fixtures!$K319),"",fixtures!$K319)</f>
        <v/>
      </c>
      <c r="V42" s="380" t="str">
        <f>IF(ISBLANK(fixtures!$L319),"",IF(S42&gt;U42,"W",IF(S42=U42,"D","L")))</f>
        <v/>
      </c>
      <c r="W42" s="380"/>
      <c r="X42" s="380"/>
      <c r="Y42" s="418">
        <v>11</v>
      </c>
      <c r="Z42" s="412" t="s">
        <v>218</v>
      </c>
      <c r="AA42" s="420">
        <f ca="1">IFERROR(INDIRECT("fixtures!" &amp; Dashboard!J1 &amp;312) - Dashboard!K1/24,"TBC")</f>
        <v>46123.625</v>
      </c>
      <c r="AB42" s="412"/>
      <c r="AC42" s="412" t="s">
        <v>1</v>
      </c>
      <c r="AD42" s="412" t="s">
        <v>92</v>
      </c>
      <c r="AE42" s="418" t="str">
        <f>IF(ISBLANK(fixtures!$L312),"",fixtures!$L312)</f>
        <v/>
      </c>
      <c r="AF42" s="412" t="str">
        <f>IF(ISBLANK(fixtures!$L312),"",":")</f>
        <v/>
      </c>
      <c r="AG42" s="419" t="str">
        <f>IF(ISBLANK(fixtures!$K312),"",fixtures!$K312)</f>
        <v/>
      </c>
      <c r="AH42" s="412" t="str">
        <f>IF(ISBLANK(fixtures!$L312),"",IF(AE42&gt;AG42,"W",IF(AE42=AG42,"D","L")))</f>
        <v/>
      </c>
      <c r="AI42" s="412"/>
      <c r="AJ42" s="412"/>
      <c r="AK42" s="427">
        <v>11</v>
      </c>
      <c r="AL42" s="413" t="s">
        <v>218</v>
      </c>
      <c r="AM42" s="429">
        <f ca="1">IFERROR(INDIRECT("fixtures!" &amp; Dashboard!J1 &amp;313) - Dashboard!K1/24,"TBC")</f>
        <v>46123.625</v>
      </c>
      <c r="AN42" s="413"/>
      <c r="AO42" s="413" t="s">
        <v>8</v>
      </c>
      <c r="AP42" s="413" t="s">
        <v>93</v>
      </c>
      <c r="AQ42" s="427" t="str">
        <f>IF(ISBLANK(fixtures!$K313),"",fixtures!$K313)</f>
        <v/>
      </c>
      <c r="AR42" s="413" t="str">
        <f>IF(ISBLANK(fixtures!$L313),"",":")</f>
        <v/>
      </c>
      <c r="AS42" s="428" t="str">
        <f>IF(ISBLANK(fixtures!$L313),"",fixtures!$L313)</f>
        <v/>
      </c>
      <c r="AT42" s="413" t="str">
        <f>IF(ISBLANK(fixtures!$L313),"",IF(AQ42&gt;AS42,"W",IF(AQ42=AS42,"D","L")))</f>
        <v/>
      </c>
      <c r="AU42" s="413"/>
      <c r="AV42" s="413"/>
      <c r="AW42" s="71">
        <v>11</v>
      </c>
      <c r="AX42" s="9" t="s">
        <v>218</v>
      </c>
      <c r="AY42" s="219">
        <f ca="1">IFERROR(INDIRECT("fixtures!" &amp; Dashboard!J1 &amp;314) - Dashboard!K1/24,"TBC")</f>
        <v>46123.625</v>
      </c>
      <c r="AZ42" s="9"/>
      <c r="BA42" s="9" t="s">
        <v>5</v>
      </c>
      <c r="BB42" s="9" t="s">
        <v>92</v>
      </c>
      <c r="BC42" s="71" t="str">
        <f>IF(ISBLANK(fixtures!$L314),"",fixtures!$L314)</f>
        <v/>
      </c>
      <c r="BD42" s="9" t="str">
        <f>IF(ISBLANK(fixtures!$L314),"",":")</f>
        <v/>
      </c>
      <c r="BE42" s="73" t="str">
        <f>IF(ISBLANK(fixtures!$K314),"",fixtures!$K314)</f>
        <v/>
      </c>
      <c r="BF42" s="9" t="str">
        <f>IF(ISBLANK(fixtures!$L314),"",IF(BC42&gt;BE42,"W",IF(BC42=BE42,"D","L")))</f>
        <v/>
      </c>
      <c r="BG42" s="9"/>
      <c r="BH42" s="9"/>
      <c r="BI42" s="436">
        <v>11</v>
      </c>
      <c r="BJ42" s="414" t="s">
        <v>218</v>
      </c>
      <c r="BK42" s="438">
        <f ca="1">IFERROR(INDIRECT("fixtures!" &amp; Dashboard!J1 &amp;314) - Dashboard!K1/24,"TBC")</f>
        <v>46123.625</v>
      </c>
      <c r="BL42" s="414"/>
      <c r="BM42" s="414" t="s">
        <v>4</v>
      </c>
      <c r="BN42" s="414" t="s">
        <v>93</v>
      </c>
      <c r="BO42" s="436" t="str">
        <f>IF(ISBLANK(fixtures!$K314),"",fixtures!$K314)</f>
        <v/>
      </c>
      <c r="BP42" s="414" t="str">
        <f>IF(ISBLANK(fixtures!$L314),"",":")</f>
        <v/>
      </c>
      <c r="BQ42" s="437" t="str">
        <f>IF(ISBLANK(fixtures!$L314),"",fixtures!$L314)</f>
        <v/>
      </c>
      <c r="BR42" s="414" t="str">
        <f>IF(ISBLANK(fixtures!$L314),"",IF(BO42&gt;BQ42,"W",IF(BO42=BQ42,"D","L")))</f>
        <v/>
      </c>
      <c r="BS42" s="414"/>
      <c r="BT42" s="414"/>
      <c r="BU42" s="146">
        <v>11</v>
      </c>
      <c r="BV42" s="13" t="s">
        <v>218</v>
      </c>
      <c r="BW42" s="225">
        <f ca="1">IFERROR(INDIRECT("fixtures!" &amp; Dashboard!J1 &amp;315) - Dashboard!K1/24,"TBC")</f>
        <v>46123.625</v>
      </c>
      <c r="BX42" s="13"/>
      <c r="BY42" s="13" t="s">
        <v>10</v>
      </c>
      <c r="BZ42" s="13" t="s">
        <v>93</v>
      </c>
      <c r="CA42" s="146" t="str">
        <f>IF(ISBLANK(fixtures!$K315),"",fixtures!$K315)</f>
        <v/>
      </c>
      <c r="CB42" s="13" t="str">
        <f>IF(ISBLANK(fixtures!$L315),"",":")</f>
        <v/>
      </c>
      <c r="CC42" s="148" t="str">
        <f>IF(ISBLANK(fixtures!$L315),"",fixtures!$L315)</f>
        <v/>
      </c>
      <c r="CD42" s="13" t="str">
        <f>IF(ISBLANK(fixtures!$L315),"",IF(CA42&gt;CC42,"W",IF(CA42=CC42,"D","L")))</f>
        <v/>
      </c>
      <c r="CE42" s="13"/>
      <c r="CF42" s="13"/>
      <c r="CG42" s="394">
        <v>11</v>
      </c>
      <c r="CH42" s="14" t="s">
        <v>218</v>
      </c>
      <c r="CI42" s="396">
        <f ca="1">IFERROR(INDIRECT("fixtures!" &amp; Dashboard!J1 &amp;316) - Dashboard!K1/24,"TBC")</f>
        <v>46123.625</v>
      </c>
      <c r="CJ42" s="14"/>
      <c r="CK42" s="14" t="s">
        <v>12</v>
      </c>
      <c r="CL42" s="14" t="s">
        <v>93</v>
      </c>
      <c r="CM42" s="394" t="str">
        <f>IF(ISBLANK(fixtures!$K316),"",fixtures!$K316)</f>
        <v/>
      </c>
      <c r="CN42" s="14" t="str">
        <f>IF(ISBLANK(fixtures!$L316),"",":")</f>
        <v/>
      </c>
      <c r="CO42" s="395" t="str">
        <f>IF(ISBLANK(fixtures!$L316),"",fixtures!$L316)</f>
        <v/>
      </c>
      <c r="CP42" s="14" t="str">
        <f>IF(ISBLANK(fixtures!$L316),"",IF(CM42&gt;CO42,"W",IF(CM42=CO42,"D","L")))</f>
        <v/>
      </c>
      <c r="CQ42" s="14"/>
      <c r="CR42" s="14"/>
      <c r="CS42" s="231">
        <v>11</v>
      </c>
      <c r="CT42" s="17" t="s">
        <v>218</v>
      </c>
      <c r="CU42" s="233">
        <f ca="1">IFERROR(INDIRECT("fixtures!" &amp; Dashboard!J1 &amp;313) - Dashboard!K1/24,"TBC")</f>
        <v>46123.625</v>
      </c>
      <c r="CV42" s="17"/>
      <c r="CW42" s="17" t="s">
        <v>107</v>
      </c>
      <c r="CX42" s="17" t="s">
        <v>92</v>
      </c>
      <c r="CY42" s="231" t="str">
        <f>IF(ISBLANK(fixtures!$L313),"",fixtures!$L313)</f>
        <v/>
      </c>
      <c r="CZ42" s="17" t="str">
        <f>IF(ISBLANK(fixtures!$L313),"",":")</f>
        <v/>
      </c>
      <c r="DA42" s="232" t="str">
        <f>IF(ISBLANK(fixtures!$K313),"",fixtures!$K313)</f>
        <v/>
      </c>
      <c r="DB42" s="17" t="str">
        <f>IF(ISBLANK(fixtures!$L313),"",IF(CY42&gt;DA42,"W",IF(CY42=DA42,"D","L")))</f>
        <v/>
      </c>
      <c r="DC42" s="17"/>
      <c r="DD42" s="17"/>
      <c r="DE42" s="444">
        <v>11</v>
      </c>
      <c r="DF42" s="143" t="s">
        <v>218</v>
      </c>
      <c r="DG42" s="446">
        <f ca="1">IFERROR(INDIRECT("fixtures!" &amp; Dashboard!J1 &amp;317) - Dashboard!K1/24,"TBC")</f>
        <v>46123.625</v>
      </c>
      <c r="DH42" s="143"/>
      <c r="DI42" s="143" t="s">
        <v>9</v>
      </c>
      <c r="DJ42" s="143" t="s">
        <v>92</v>
      </c>
      <c r="DK42" s="444" t="str">
        <f>IF(ISBLANK(fixtures!$L317),"",fixtures!$L317)</f>
        <v/>
      </c>
      <c r="DL42" s="143" t="str">
        <f>IF(ISBLANK(fixtures!$L317),"",":")</f>
        <v/>
      </c>
      <c r="DM42" s="445" t="str">
        <f>IF(ISBLANK(fixtures!$K317),"",fixtures!$K317)</f>
        <v/>
      </c>
      <c r="DN42" s="143" t="str">
        <f>IF(ISBLANK(fixtures!$L317),"",IF(DK42&gt;DM42,"W",IF(DK42=DM42,"D","L")))</f>
        <v/>
      </c>
      <c r="DO42" s="143"/>
      <c r="DP42" s="143"/>
      <c r="DQ42" s="382">
        <v>11</v>
      </c>
      <c r="DR42" s="383" t="s">
        <v>218</v>
      </c>
      <c r="DS42" s="384">
        <f ca="1">IFERROR(INDIRECT("fixtures!" &amp; Dashboard!J1 &amp;318) - Dashboard!K1/24,"TBC")</f>
        <v>46123.625</v>
      </c>
      <c r="DT42" s="380"/>
      <c r="DU42" s="380" t="s">
        <v>11</v>
      </c>
      <c r="DV42" s="380" t="s">
        <v>92</v>
      </c>
      <c r="DW42" s="382" t="str">
        <f>IF(ISBLANK(fixtures!$L318),"",fixtures!$L318)</f>
        <v/>
      </c>
      <c r="DX42" s="380" t="str">
        <f>IF(ISBLANK(fixtures!$L318),"",":")</f>
        <v/>
      </c>
      <c r="DY42" s="383" t="str">
        <f>IF(ISBLANK(fixtures!$K318),"",fixtures!$K318)</f>
        <v/>
      </c>
      <c r="DZ42" s="380" t="str">
        <f>IF(ISBLANK(fixtures!$L318),"",IF(DW42&gt;DY42,"W",IF(DW42=DY42,"D","L")))</f>
        <v/>
      </c>
      <c r="EA42" s="380"/>
      <c r="EB42" s="380"/>
      <c r="EC42" s="207">
        <v>11</v>
      </c>
      <c r="ED42" s="19" t="s">
        <v>218</v>
      </c>
      <c r="EE42" s="239">
        <f ca="1">IFERROR(INDIRECT("fixtures!" &amp; Dashboard!J1 &amp;317) - Dashboard!K1/24,"TBC")</f>
        <v>46123.625</v>
      </c>
      <c r="EF42" s="19"/>
      <c r="EG42" s="19" t="s">
        <v>108</v>
      </c>
      <c r="EH42" s="19" t="s">
        <v>93</v>
      </c>
      <c r="EI42" s="207" t="str">
        <f>IF(ISBLANK(fixtures!$K317),"",fixtures!$K317)</f>
        <v/>
      </c>
      <c r="EJ42" s="19" t="str">
        <f>IF(ISBLANK(fixtures!$L317),"",":")</f>
        <v/>
      </c>
      <c r="EK42" s="209" t="str">
        <f>IF(ISBLANK(fixtures!$L317),"",fixtures!$L317)</f>
        <v/>
      </c>
      <c r="EL42" s="19" t="str">
        <f>IF(ISBLANK(fixtures!$L317),"",IF(EI42&gt;EK42,"W",IF(EI42=EK42,"D","L")))</f>
        <v/>
      </c>
      <c r="EM42" s="19"/>
      <c r="EN42" s="19"/>
      <c r="EO42" s="80">
        <v>11</v>
      </c>
      <c r="EP42" s="21" t="s">
        <v>218</v>
      </c>
      <c r="EQ42" s="245">
        <f ca="1">IFERROR(INDIRECT("fixtures!" &amp; Dashboard!J1 &amp;315) - Dashboard!K1/24,"TBC")</f>
        <v>46123.625</v>
      </c>
      <c r="ER42" s="21"/>
      <c r="ES42" s="21" t="s">
        <v>6</v>
      </c>
      <c r="ET42" s="21" t="s">
        <v>92</v>
      </c>
      <c r="EU42" s="80" t="str">
        <f>IF(ISBLANK(fixtures!$L315),"",fixtures!$L315)</f>
        <v/>
      </c>
      <c r="EV42" s="21" t="str">
        <f>IF(ISBLANK(fixtures!$L315),"",":")</f>
        <v/>
      </c>
      <c r="EW42" s="82" t="str">
        <f>IF(ISBLANK(fixtures!$K315),"",fixtures!$K315)</f>
        <v/>
      </c>
      <c r="EX42" s="21" t="str">
        <f>IF(ISBLANK(fixtures!$L315),"",IF(EU42&gt;EW42,"W",IF(EU42=EW42,"D","L")))</f>
        <v/>
      </c>
      <c r="EY42" s="21"/>
      <c r="EZ42" s="21"/>
      <c r="FA42" s="251">
        <v>11</v>
      </c>
      <c r="FB42" s="23" t="s">
        <v>218</v>
      </c>
      <c r="FC42" s="253">
        <f ca="1">IFERROR(INDIRECT("fixtures!" &amp; Dashboard!J1 &amp;318) - Dashboard!K1/24,"TBC")</f>
        <v>46123.625</v>
      </c>
      <c r="FD42" s="23"/>
      <c r="FE42" s="23" t="s">
        <v>444</v>
      </c>
      <c r="FF42" s="23" t="s">
        <v>93</v>
      </c>
      <c r="FG42" s="251" t="str">
        <f>IF(ISBLANK(fixtures!$K318),"",fixtures!$K318)</f>
        <v/>
      </c>
      <c r="FH42" s="23" t="str">
        <f>IF(ISBLANK(fixtures!$L318),"",":")</f>
        <v/>
      </c>
      <c r="FI42" s="252" t="str">
        <f>IF(ISBLANK(fixtures!$L318),"",fixtures!$L318)</f>
        <v/>
      </c>
      <c r="FJ42" s="23" t="str">
        <f>IF(ISBLANK(fixtures!$L318),"",IF(FG42&gt;FI42,"W",IF(FG42=FI42,"D","L")))</f>
        <v/>
      </c>
      <c r="FK42" s="23"/>
      <c r="FL42" s="23"/>
      <c r="FM42" s="85">
        <v>11</v>
      </c>
      <c r="FN42" s="87" t="s">
        <v>218</v>
      </c>
      <c r="FO42" s="259">
        <f ca="1">IFERROR(INDIRECT("fixtures!" &amp; Dashboard!J1 &amp;316) - Dashboard!K1/24,"TBC")</f>
        <v>46123.625</v>
      </c>
      <c r="FP42" s="25"/>
      <c r="FQ42" s="25" t="s">
        <v>7</v>
      </c>
      <c r="FR42" s="25" t="s">
        <v>92</v>
      </c>
      <c r="FS42" s="85" t="str">
        <f>IF(ISBLANK(fixtures!$L316),"",fixtures!$L316)</f>
        <v/>
      </c>
      <c r="FT42" s="25" t="str">
        <f>IF(ISBLANK(fixtures!$L316),"",":")</f>
        <v/>
      </c>
      <c r="FU42" s="87" t="str">
        <f>IF(ISBLANK(fixtures!$K316),"",fixtures!$K316)</f>
        <v/>
      </c>
      <c r="FV42" s="25" t="str">
        <f>IF(ISBLANK(fixtures!$L316),"",IF(FS42&gt;FU42,"W",IF(FS42=FU42,"D","L")))</f>
        <v/>
      </c>
      <c r="FW42" s="25"/>
      <c r="FX42" s="25"/>
      <c r="FY42" s="402">
        <v>11</v>
      </c>
      <c r="FZ42" s="390" t="s">
        <v>218</v>
      </c>
      <c r="GA42" s="404">
        <f ca="1">IFERROR(INDIRECT("fixtures!" &amp; Dashboard!J1 &amp;319) - Dashboard!K1/24,"TBC")</f>
        <v>46123.625</v>
      </c>
      <c r="GB42" s="390"/>
      <c r="GC42" s="390" t="s">
        <v>2</v>
      </c>
      <c r="GD42" s="390" t="s">
        <v>93</v>
      </c>
      <c r="GE42" s="402" t="str">
        <f>IF(ISBLANK(fixtures!$K319),"",fixtures!$K319)</f>
        <v/>
      </c>
      <c r="GF42" s="390" t="str">
        <f>IF(ISBLANK(fixtures!$L319),"",":")</f>
        <v/>
      </c>
      <c r="GG42" s="403" t="str">
        <f>IF(ISBLANK(fixtures!$L319),"",fixtures!$L319)</f>
        <v/>
      </c>
      <c r="GH42" s="390" t="str">
        <f>IF(ISBLANK(fixtures!$L319),"",IF(GE42&gt;GG42,"W",IF(GE42=GG42,"D","L")))</f>
        <v/>
      </c>
      <c r="GI42" s="390"/>
      <c r="GJ42" s="390"/>
      <c r="GK42" s="89">
        <v>11</v>
      </c>
      <c r="GL42" s="27" t="s">
        <v>218</v>
      </c>
      <c r="GM42" s="266">
        <f ca="1">IFERROR(INDIRECT("fixtures!" &amp; Dashboard!J1 &amp;320) - Dashboard!K1/24,"TBC")</f>
        <v>46123.625</v>
      </c>
      <c r="GN42" s="27"/>
      <c r="GO42" s="27" t="s">
        <v>443</v>
      </c>
      <c r="GP42" s="27" t="s">
        <v>92</v>
      </c>
      <c r="GQ42" s="89" t="str">
        <f>IF(ISBLANK(fixtures!$L320),"",fixtures!$L320)</f>
        <v/>
      </c>
      <c r="GR42" s="27" t="str">
        <f>IF(ISBLANK(fixtures!$L320),"",":")</f>
        <v/>
      </c>
      <c r="GS42" s="90" t="str">
        <f>IF(ISBLANK(fixtures!$K320),"",fixtures!$K320)</f>
        <v/>
      </c>
      <c r="GT42" s="27" t="str">
        <f>IF(ISBLANK(fixtures!$L320),"",IF(GQ42&gt;GS42,"W",IF(GQ42=GS42,"D","L")))</f>
        <v/>
      </c>
      <c r="GU42" s="27"/>
      <c r="GV42" s="27"/>
      <c r="GW42" s="382">
        <v>11</v>
      </c>
      <c r="GX42" s="380" t="s">
        <v>218</v>
      </c>
      <c r="GY42" s="384">
        <f ca="1">IFERROR(INDIRECT("fixtures!" &amp; Dashboard!J1 &amp;320) - Dashboard!K1/24,"TBC")</f>
        <v>46123.625</v>
      </c>
      <c r="GZ42" s="380"/>
      <c r="HA42" s="380" t="s">
        <v>13</v>
      </c>
      <c r="HB42" s="380" t="s">
        <v>93</v>
      </c>
      <c r="HC42" s="382" t="str">
        <f>IF(ISBLANK(fixtures!$K320),"",fixtures!$K320)</f>
        <v/>
      </c>
      <c r="HD42" s="380" t="str">
        <f>IF(ISBLANK(fixtures!$L320),"",":")</f>
        <v/>
      </c>
      <c r="HE42" s="383" t="str">
        <f>IF(ISBLANK(fixtures!$L320),"",fixtures!$L320)</f>
        <v/>
      </c>
      <c r="HF42" s="380" t="str">
        <f>IF(ISBLANK(fixtures!$L320),"",IF(HC42&gt;HE42,"W",IF(HC42=HE42,"D","L")))</f>
        <v/>
      </c>
      <c r="HG42" s="380"/>
      <c r="HH42" s="380"/>
      <c r="HI42" s="92">
        <v>11</v>
      </c>
      <c r="HJ42" s="29" t="s">
        <v>218</v>
      </c>
      <c r="HK42" s="272">
        <f ca="1">IFERROR(INDIRECT("fixtures!" &amp; Dashboard!J1 &amp;321) - Dashboard!K1/24,"TBC")</f>
        <v>46123.625</v>
      </c>
      <c r="HL42" s="29"/>
      <c r="HM42" s="29" t="s">
        <v>15</v>
      </c>
      <c r="HN42" s="29" t="s">
        <v>93</v>
      </c>
      <c r="HO42" s="92" t="str">
        <f>IF(ISBLANK(fixtures!$K321),"",fixtures!$K321)</f>
        <v/>
      </c>
      <c r="HP42" s="29" t="str">
        <f>IF(ISBLANK(fixtures!$L321),"",":")</f>
        <v/>
      </c>
      <c r="HQ42" s="94" t="str">
        <f>IF(ISBLANK(fixtures!$L321),"",fixtures!$L321)</f>
        <v/>
      </c>
      <c r="HR42" s="29" t="str">
        <f>IF(ISBLANK(fixtures!$L321),"",IF(HO42&gt;HQ42,"W",IF(HO42=HQ42,"D","L")))</f>
        <v/>
      </c>
      <c r="HS42" s="29"/>
      <c r="HT42" s="29"/>
      <c r="HU42" s="97">
        <v>11</v>
      </c>
      <c r="HV42" s="31" t="s">
        <v>218</v>
      </c>
      <c r="HW42" s="278">
        <f ca="1">IFERROR(INDIRECT("fixtures!" &amp; Dashboard!J1 &amp;321) - Dashboard!K1/24,"TBC")</f>
        <v>46123.625</v>
      </c>
      <c r="HX42" s="31"/>
      <c r="HY42" s="31" t="s">
        <v>14</v>
      </c>
      <c r="HZ42" s="31" t="s">
        <v>92</v>
      </c>
      <c r="IA42" s="97" t="str">
        <f>IF(ISBLANK(fixtures!$L321),"",fixtures!$L321)</f>
        <v/>
      </c>
      <c r="IB42" s="31" t="str">
        <f>IF(ISBLANK(fixtures!$L321),"",":")</f>
        <v/>
      </c>
      <c r="IC42" s="99" t="str">
        <f>IF(ISBLANK(fixtures!$K321),"",fixtures!$K321)</f>
        <v/>
      </c>
      <c r="ID42" s="31" t="str">
        <f>IF(ISBLANK(fixtures!$L321),"",IF(IA42&gt;IC42,"W",IF(IA42=IC42,"D","L")))</f>
        <v/>
      </c>
      <c r="IE42" s="31"/>
      <c r="IF42" s="31"/>
    </row>
    <row r="43" spans="1:252">
      <c r="A43" s="66">
        <v>18</v>
      </c>
      <c r="B43" s="68" t="s">
        <v>218</v>
      </c>
      <c r="C43" s="214">
        <f ca="1">IFERROR(INDIRECT("fixtures!" &amp; Dashboard!J1 &amp;328) - Dashboard!K1/24,"TBC")</f>
        <v>46130.625</v>
      </c>
      <c r="D43" s="6"/>
      <c r="E43" s="6" t="s">
        <v>10</v>
      </c>
      <c r="F43" s="6" t="s">
        <v>92</v>
      </c>
      <c r="G43" s="66" t="str">
        <f>IF(ISBLANK(fixtures!$L328),"",fixtures!$L328)</f>
        <v/>
      </c>
      <c r="H43" s="6" t="str">
        <f>IF(ISBLANK(fixtures!$L328),"",":")</f>
        <v/>
      </c>
      <c r="I43" s="68" t="str">
        <f>IF(ISBLANK(fixtures!$K328),"",fixtures!$K328)</f>
        <v/>
      </c>
      <c r="J43" s="6" t="str">
        <f>IF(ISBLANK(fixtures!$L328),"",IF(G43&gt;I43,"W",IF(G43=I43,"D","L")))</f>
        <v/>
      </c>
      <c r="K43" s="6"/>
      <c r="L43" s="6"/>
      <c r="M43" s="382">
        <v>18</v>
      </c>
      <c r="N43" s="383" t="s">
        <v>218</v>
      </c>
      <c r="O43" s="384">
        <f ca="1">IFERROR(INDIRECT("fixtures!" &amp; Dashboard!J1 &amp;322) - Dashboard!K1/24,"TBC")</f>
        <v>46130.625</v>
      </c>
      <c r="P43" s="380"/>
      <c r="Q43" s="380" t="s">
        <v>443</v>
      </c>
      <c r="R43" s="380" t="s">
        <v>93</v>
      </c>
      <c r="S43" s="382" t="str">
        <f>IF(ISBLANK(fixtures!$K322),"",fixtures!$K322)</f>
        <v/>
      </c>
      <c r="T43" s="380" t="str">
        <f>IF(ISBLANK(fixtures!$L322),"",":")</f>
        <v/>
      </c>
      <c r="U43" s="383" t="str">
        <f>IF(ISBLANK(fixtures!$L322),"",fixtures!$L322)</f>
        <v/>
      </c>
      <c r="V43" s="380" t="str">
        <f>IF(ISBLANK(fixtures!$L322),"",IF(S43&gt;U43,"W",IF(S43=U43,"D","L")))</f>
        <v/>
      </c>
      <c r="W43" s="380"/>
      <c r="X43" s="380"/>
      <c r="Y43" s="418">
        <v>18</v>
      </c>
      <c r="Z43" s="419" t="s">
        <v>218</v>
      </c>
      <c r="AA43" s="420">
        <f ca="1">IFERROR(INDIRECT("fixtures!" &amp; Dashboard!J1 &amp;329) - Dashboard!K1/24,"TBC")</f>
        <v>46130.625</v>
      </c>
      <c r="AB43" s="412"/>
      <c r="AC43" s="412" t="s">
        <v>12</v>
      </c>
      <c r="AD43" s="412" t="s">
        <v>92</v>
      </c>
      <c r="AE43" s="418" t="str">
        <f>IF(ISBLANK(fixtures!$L329),"",fixtures!$L329)</f>
        <v/>
      </c>
      <c r="AF43" s="412" t="str">
        <f>IF(ISBLANK(fixtures!$L329),"",":")</f>
        <v/>
      </c>
      <c r="AG43" s="419" t="str">
        <f>IF(ISBLANK(fixtures!$K329),"",fixtures!$K329)</f>
        <v/>
      </c>
      <c r="AH43" s="412" t="str">
        <f>IF(ISBLANK(fixtures!$L329),"",IF(AE43&gt;AG43,"W",IF(AE43=AG43,"D","L")))</f>
        <v/>
      </c>
      <c r="AI43" s="412"/>
      <c r="AJ43" s="412"/>
      <c r="AK43" s="427">
        <v>18</v>
      </c>
      <c r="AL43" s="428" t="s">
        <v>218</v>
      </c>
      <c r="AM43" s="429">
        <f ca="1">IFERROR(INDIRECT("fixtures!" &amp; Dashboard!J1 &amp;323) - Dashboard!K1/24,"TBC")</f>
        <v>46130.625</v>
      </c>
      <c r="AN43" s="413"/>
      <c r="AO43" s="413" t="s">
        <v>108</v>
      </c>
      <c r="AP43" s="413" t="s">
        <v>93</v>
      </c>
      <c r="AQ43" s="427" t="str">
        <f>IF(ISBLANK(fixtures!$K323),"",fixtures!$K323)</f>
        <v/>
      </c>
      <c r="AR43" s="413" t="str">
        <f>IF(ISBLANK(fixtures!$L323),"",":")</f>
        <v/>
      </c>
      <c r="AS43" s="428" t="str">
        <f>IF(ISBLANK(fixtures!$L323),"",fixtures!$L323)</f>
        <v/>
      </c>
      <c r="AT43" s="413" t="str">
        <f>IF(ISBLANK(fixtures!$L323),"",IF(AQ43&gt;AS43,"W",IF(AQ43=AS43,"D","L")))</f>
        <v/>
      </c>
      <c r="AU43" s="413"/>
      <c r="AV43" s="413"/>
      <c r="AW43" s="71">
        <v>18</v>
      </c>
      <c r="AX43" s="73" t="s">
        <v>218</v>
      </c>
      <c r="AY43" s="219">
        <f ca="1">IFERROR(INDIRECT("fixtures!" &amp; Dashboard!J1 &amp;331) - Dashboard!K1/24,"TBC")</f>
        <v>46130.625</v>
      </c>
      <c r="AZ43" s="9"/>
      <c r="BA43" s="9" t="s">
        <v>13</v>
      </c>
      <c r="BB43" s="9" t="s">
        <v>92</v>
      </c>
      <c r="BC43" s="71" t="str">
        <f>IF(ISBLANK(fixtures!$L331),"",fixtures!$L331)</f>
        <v/>
      </c>
      <c r="BD43" s="9" t="str">
        <f>IF(ISBLANK(fixtures!$L331),"",":")</f>
        <v/>
      </c>
      <c r="BE43" s="73" t="str">
        <f>IF(ISBLANK(fixtures!$K331),"",fixtures!$K331)</f>
        <v/>
      </c>
      <c r="BF43" s="9" t="str">
        <f>IF(ISBLANK(fixtures!$L331),"",IF(BC43&gt;BE43,"W",IF(BC43=BE43,"D","L")))</f>
        <v/>
      </c>
      <c r="BG43" s="9"/>
      <c r="BH43" s="9"/>
      <c r="BI43" s="436">
        <v>18</v>
      </c>
      <c r="BJ43" s="437" t="s">
        <v>218</v>
      </c>
      <c r="BK43" s="438">
        <f ca="1">IFERROR(INDIRECT("fixtures!" &amp; Dashboard!J1 &amp;330) - Dashboard!K1/24,"TBC")</f>
        <v>46130.625</v>
      </c>
      <c r="BL43" s="414"/>
      <c r="BM43" s="414" t="s">
        <v>188</v>
      </c>
      <c r="BN43" s="414" t="s">
        <v>92</v>
      </c>
      <c r="BO43" s="436" t="str">
        <f>IF(ISBLANK(fixtures!$L330),"",fixtures!$L330)</f>
        <v/>
      </c>
      <c r="BP43" s="414" t="str">
        <f>IF(ISBLANK(fixtures!$L330),"",":")</f>
        <v/>
      </c>
      <c r="BQ43" s="437" t="str">
        <f>IF(ISBLANK(fixtures!$K330),"",fixtures!$K330)</f>
        <v/>
      </c>
      <c r="BR43" s="414" t="str">
        <f>IF(ISBLANK(fixtures!$L330),"",IF(BO43&gt;BQ43,"W",IF(BO43=BQ43,"D","L")))</f>
        <v/>
      </c>
      <c r="BS43" s="414"/>
      <c r="BT43" s="414"/>
      <c r="BU43" s="146">
        <v>18</v>
      </c>
      <c r="BV43" s="148" t="s">
        <v>218</v>
      </c>
      <c r="BW43" s="225">
        <f ca="1">IFERROR(INDIRECT("fixtures!" &amp; Dashboard!J1 &amp;324) - Dashboard!K1/24,"TBC")</f>
        <v>46130.625</v>
      </c>
      <c r="BX43" s="13"/>
      <c r="BY43" s="13" t="s">
        <v>11</v>
      </c>
      <c r="BZ43" s="13" t="s">
        <v>93</v>
      </c>
      <c r="CA43" s="146" t="str">
        <f>IF(ISBLANK(fixtures!$K324),"",fixtures!$K324)</f>
        <v/>
      </c>
      <c r="CB43" s="13" t="str">
        <f>IF(ISBLANK(fixtures!$L324),"",":")</f>
        <v/>
      </c>
      <c r="CC43" s="148" t="str">
        <f>IF(ISBLANK(fixtures!$L324),"",fixtures!$L324)</f>
        <v/>
      </c>
      <c r="CD43" s="13" t="str">
        <f>IF(ISBLANK(fixtures!$L324),"",IF(CA43&gt;CC43,"W",IF(CA43=CC43,"D","L")))</f>
        <v/>
      </c>
      <c r="CE43" s="13"/>
      <c r="CF43" s="13"/>
      <c r="CG43" s="394">
        <v>18</v>
      </c>
      <c r="CH43" s="395" t="s">
        <v>218</v>
      </c>
      <c r="CI43" s="396">
        <f ca="1">IFERROR(INDIRECT("fixtures!" &amp; Dashboard!J1 &amp;325) - Dashboard!K1/24,"TBC")</f>
        <v>46130.625</v>
      </c>
      <c r="CJ43" s="14"/>
      <c r="CK43" s="14" t="s">
        <v>14</v>
      </c>
      <c r="CL43" s="14" t="s">
        <v>93</v>
      </c>
      <c r="CM43" s="394" t="str">
        <f>IF(ISBLANK(fixtures!$K325),"",fixtures!$K325)</f>
        <v/>
      </c>
      <c r="CN43" s="14" t="str">
        <f>IF(ISBLANK(fixtures!$L325),"",":")</f>
        <v/>
      </c>
      <c r="CO43" s="395" t="str">
        <f>IF(ISBLANK(fixtures!$L325),"",fixtures!$L325)</f>
        <v/>
      </c>
      <c r="CP43" s="14" t="str">
        <f>IF(ISBLANK(fixtures!$L325),"",IF(CM43&gt;CO43,"W",IF(CM43=CO43,"D","L")))</f>
        <v/>
      </c>
      <c r="CQ43" s="14"/>
      <c r="CR43" s="14"/>
      <c r="CS43" s="231">
        <v>18</v>
      </c>
      <c r="CT43" s="232" t="s">
        <v>218</v>
      </c>
      <c r="CU43" s="233">
        <f ca="1">IFERROR(INDIRECT("fixtures!" &amp; Dashboard!J1 &amp;326) - Dashboard!K1/24,"TBC")</f>
        <v>46130.625</v>
      </c>
      <c r="CV43" s="17"/>
      <c r="CW43" s="17" t="s">
        <v>9</v>
      </c>
      <c r="CX43" s="17" t="s">
        <v>93</v>
      </c>
      <c r="CY43" s="231" t="str">
        <f>IF(ISBLANK(fixtures!$K326),"",fixtures!$K326)</f>
        <v/>
      </c>
      <c r="CZ43" s="17" t="str">
        <f>IF(ISBLANK(fixtures!$L326),"",":")</f>
        <v/>
      </c>
      <c r="DA43" s="232" t="str">
        <f>IF(ISBLANK(fixtures!$L326),"",fixtures!$L326)</f>
        <v/>
      </c>
      <c r="DB43" s="17" t="str">
        <f>IF(ISBLANK(fixtures!$L326),"",IF(CY43&gt;DA43,"W",IF(CY43=DA43,"D","L")))</f>
        <v/>
      </c>
      <c r="DC43" s="17"/>
      <c r="DD43" s="17"/>
      <c r="DE43" s="444">
        <v>18</v>
      </c>
      <c r="DF43" s="445" t="s">
        <v>218</v>
      </c>
      <c r="DG43" s="446">
        <f ca="1">IFERROR(INDIRECT("fixtures!" &amp; Dashboard!J1 &amp;323) - Dashboard!K1/24,"TBC")</f>
        <v>46130.625</v>
      </c>
      <c r="DH43" s="143"/>
      <c r="DI43" s="143" t="s">
        <v>107</v>
      </c>
      <c r="DJ43" s="143" t="s">
        <v>92</v>
      </c>
      <c r="DK43" s="444" t="str">
        <f>IF(ISBLANK(fixtures!$L323),"",fixtures!$L323)</f>
        <v/>
      </c>
      <c r="DL43" s="143" t="str">
        <f>IF(ISBLANK(fixtures!$L323),"",":")</f>
        <v/>
      </c>
      <c r="DM43" s="445" t="str">
        <f>IF(ISBLANK(fixtures!$K323),"",fixtures!$K323)</f>
        <v/>
      </c>
      <c r="DN43" s="143" t="str">
        <f>IF(ISBLANK(fixtures!$L323),"",IF(DK43&gt;DM43,"W",IF(DK43=DM43,"D","L")))</f>
        <v/>
      </c>
      <c r="DO43" s="143"/>
      <c r="DP43" s="143"/>
      <c r="DQ43" s="382">
        <v>18</v>
      </c>
      <c r="DR43" s="383" t="s">
        <v>218</v>
      </c>
      <c r="DS43" s="384">
        <f ca="1">IFERROR(INDIRECT("fixtures!" &amp; Dashboard!J1 &amp;327) - Dashboard!K1/24,"TBC")</f>
        <v>46130.625</v>
      </c>
      <c r="DT43" s="380"/>
      <c r="DU43" s="380" t="s">
        <v>15</v>
      </c>
      <c r="DV43" s="380" t="s">
        <v>93</v>
      </c>
      <c r="DW43" s="382" t="str">
        <f>IF(ISBLANK(fixtures!$K327),"",fixtures!$K327)</f>
        <v/>
      </c>
      <c r="DX43" s="380" t="str">
        <f>IF(ISBLANK(fixtures!$L327),"",":")</f>
        <v/>
      </c>
      <c r="DY43" s="383" t="str">
        <f>IF(ISBLANK(fixtures!$L327),"",fixtures!$L327)</f>
        <v/>
      </c>
      <c r="DZ43" s="380" t="str">
        <f>IF(ISBLANK(fixtures!$L327),"",IF(DW43&gt;DY43,"W",IF(DW43=DY43,"D","L")))</f>
        <v/>
      </c>
      <c r="EA43" s="380"/>
      <c r="EB43" s="380"/>
      <c r="EC43" s="207">
        <v>18</v>
      </c>
      <c r="ED43" s="209" t="s">
        <v>218</v>
      </c>
      <c r="EE43" s="239">
        <f ca="1">IFERROR(INDIRECT("fixtures!" &amp; Dashboard!J1 &amp;326) - Dashboard!K1/24,"TBC")</f>
        <v>46130.625</v>
      </c>
      <c r="EF43" s="19"/>
      <c r="EG43" s="19" t="s">
        <v>8</v>
      </c>
      <c r="EH43" s="19" t="s">
        <v>92</v>
      </c>
      <c r="EI43" s="207" t="str">
        <f>IF(ISBLANK(fixtures!$L326),"",fixtures!$L326)</f>
        <v/>
      </c>
      <c r="EJ43" s="19" t="str">
        <f>IF(ISBLANK(fixtures!$L326),"",":")</f>
        <v/>
      </c>
      <c r="EK43" s="209" t="str">
        <f>IF(ISBLANK(fixtures!$K326),"",fixtures!$K326)</f>
        <v/>
      </c>
      <c r="EL43" s="19" t="str">
        <f>IF(ISBLANK(fixtures!$L326),"",IF(EI43&gt;EK43,"W",IF(EI43=EK43,"D","L")))</f>
        <v/>
      </c>
      <c r="EM43" s="19"/>
      <c r="EN43" s="19"/>
      <c r="EO43" s="80">
        <v>18</v>
      </c>
      <c r="EP43" s="82" t="s">
        <v>218</v>
      </c>
      <c r="EQ43" s="245">
        <f ca="1">IFERROR(INDIRECT("fixtures!" &amp; Dashboard!J1 &amp;328) - Dashboard!K1/24,"TBC")</f>
        <v>46130.625</v>
      </c>
      <c r="ER43" s="21"/>
      <c r="ES43" s="21" t="s">
        <v>1</v>
      </c>
      <c r="ET43" s="21" t="s">
        <v>93</v>
      </c>
      <c r="EU43" s="80" t="str">
        <f>IF(ISBLANK(fixtures!$K328),"",fixtures!$K328)</f>
        <v/>
      </c>
      <c r="EV43" s="21" t="str">
        <f>IF(ISBLANK(fixtures!$L328),"",":")</f>
        <v/>
      </c>
      <c r="EW43" s="82" t="str">
        <f>IF(ISBLANK(fixtures!$L328),"",fixtures!$L328)</f>
        <v/>
      </c>
      <c r="EX43" s="21" t="str">
        <f>IF(ISBLANK(fixtures!$L328),"",IF(EU43&gt;EW43,"W",IF(EU43=EW43,"D","L")))</f>
        <v/>
      </c>
      <c r="EY43" s="21"/>
      <c r="EZ43" s="21"/>
      <c r="FA43" s="251">
        <v>18</v>
      </c>
      <c r="FB43" s="252" t="s">
        <v>218</v>
      </c>
      <c r="FC43" s="253">
        <f ca="1">IFERROR(INDIRECT("fixtures!" &amp; Dashboard!J1 &amp;324) - Dashboard!K1/24,"TBC")</f>
        <v>46130.625</v>
      </c>
      <c r="FD43" s="23"/>
      <c r="FE43" s="23" t="s">
        <v>6</v>
      </c>
      <c r="FF43" s="23" t="s">
        <v>92</v>
      </c>
      <c r="FG43" s="251" t="str">
        <f>IF(ISBLANK(fixtures!$L324),"",fixtures!$L324)</f>
        <v/>
      </c>
      <c r="FH43" s="23" t="str">
        <f>IF(ISBLANK(fixtures!$L324),"",":")</f>
        <v/>
      </c>
      <c r="FI43" s="252" t="str">
        <f>IF(ISBLANK(fixtures!$K324),"",fixtures!$K324)</f>
        <v/>
      </c>
      <c r="FJ43" s="23" t="str">
        <f>IF(ISBLANK(fixtures!$L324),"",IF(FG43&gt;FI43,"W",IF(FG43=FI43,"D","L")))</f>
        <v/>
      </c>
      <c r="FK43" s="23"/>
      <c r="FL43" s="23"/>
      <c r="FM43" s="85">
        <v>18</v>
      </c>
      <c r="FN43" s="87" t="s">
        <v>218</v>
      </c>
      <c r="FO43" s="259">
        <f ca="1">IFERROR(INDIRECT("fixtures!" &amp; Dashboard!J1 &amp;329) - Dashboard!K1/24,"TBC")</f>
        <v>46130.625</v>
      </c>
      <c r="FP43" s="25"/>
      <c r="FQ43" s="25" t="s">
        <v>3</v>
      </c>
      <c r="FR43" s="25" t="s">
        <v>93</v>
      </c>
      <c r="FS43" s="85" t="str">
        <f>IF(ISBLANK(fixtures!$K329),"",fixtures!$K329)</f>
        <v/>
      </c>
      <c r="FT43" s="25" t="str">
        <f>IF(ISBLANK(fixtures!$L329),"",":")</f>
        <v/>
      </c>
      <c r="FU43" s="87" t="str">
        <f>IF(ISBLANK(fixtures!$L329),"",fixtures!$L329)</f>
        <v/>
      </c>
      <c r="FV43" s="25" t="str">
        <f>IF(ISBLANK(fixtures!$L329),"",IF(FS43&gt;FU43,"W",IF(FS43=FU43,"D","L")))</f>
        <v/>
      </c>
      <c r="FW43" s="25"/>
      <c r="FX43" s="25"/>
      <c r="FY43" s="402">
        <v>18</v>
      </c>
      <c r="FZ43" s="403" t="s">
        <v>218</v>
      </c>
      <c r="GA43" s="404">
        <f ca="1">IFERROR(INDIRECT("fixtures!" &amp; Dashboard!J1 &amp;330) - Dashboard!K1/24,"TBC")</f>
        <v>46130.625</v>
      </c>
      <c r="GB43" s="390"/>
      <c r="GC43" s="390" t="s">
        <v>5</v>
      </c>
      <c r="GD43" s="390" t="s">
        <v>93</v>
      </c>
      <c r="GE43" s="402" t="str">
        <f>IF(ISBLANK(fixtures!$K330),"",fixtures!$K330)</f>
        <v/>
      </c>
      <c r="GF43" s="390" t="str">
        <f>IF(ISBLANK(fixtures!$L330),"",":")</f>
        <v/>
      </c>
      <c r="GG43" s="403" t="str">
        <f>IF(ISBLANK(fixtures!$L330),"",fixtures!$L330)</f>
        <v/>
      </c>
      <c r="GH43" s="390" t="str">
        <f>IF(ISBLANK(fixtures!$L330),"",IF(GE43&gt;GG43,"W",IF(GE43=GG43,"D","L")))</f>
        <v/>
      </c>
      <c r="GI43" s="390"/>
      <c r="GJ43" s="390"/>
      <c r="GK43" s="89">
        <v>18</v>
      </c>
      <c r="GL43" s="90" t="s">
        <v>218</v>
      </c>
      <c r="GM43" s="266">
        <f ca="1">IFERROR(INDIRECT("fixtures!" &amp; Dashboard!J1 &amp;331) - Dashboard!K1/24,"TBC")</f>
        <v>46130.625</v>
      </c>
      <c r="GN43" s="27"/>
      <c r="GO43" s="27" t="s">
        <v>4</v>
      </c>
      <c r="GP43" s="27" t="s">
        <v>93</v>
      </c>
      <c r="GQ43" s="89" t="str">
        <f>IF(ISBLANK(fixtures!$K331),"",fixtures!$K331)</f>
        <v/>
      </c>
      <c r="GR43" s="27" t="str">
        <f>IF(ISBLANK(fixtures!$L331),"",":")</f>
        <v/>
      </c>
      <c r="GS43" s="90" t="str">
        <f>IF(ISBLANK(fixtures!$L331),"",fixtures!$L331)</f>
        <v/>
      </c>
      <c r="GT43" s="27" t="str">
        <f>IF(ISBLANK(fixtures!$L331),"",IF(GQ43&gt;GS43,"W",IF(GQ43=GS43,"D","L")))</f>
        <v/>
      </c>
      <c r="GU43" s="27"/>
      <c r="GV43" s="27"/>
      <c r="GW43" s="382">
        <v>18</v>
      </c>
      <c r="GX43" s="383" t="s">
        <v>218</v>
      </c>
      <c r="GY43" s="384">
        <f ca="1">IFERROR(INDIRECT("fixtures!" &amp; Dashboard!J1 &amp;322) - Dashboard!K1/24,"TBC")</f>
        <v>46130.625</v>
      </c>
      <c r="GZ43" s="380"/>
      <c r="HA43" s="380" t="s">
        <v>2</v>
      </c>
      <c r="HB43" s="380" t="s">
        <v>92</v>
      </c>
      <c r="HC43" s="382" t="str">
        <f>IF(ISBLANK(fixtures!$L322),"",fixtures!$L322)</f>
        <v/>
      </c>
      <c r="HD43" s="380" t="str">
        <f>IF(ISBLANK(fixtures!$L322),"",":")</f>
        <v/>
      </c>
      <c r="HE43" s="383" t="str">
        <f>IF(ISBLANK(fixtures!$K322),"",fixtures!$K322)</f>
        <v/>
      </c>
      <c r="HF43" s="380" t="str">
        <f>IF(ISBLANK(fixtures!$L322),"",IF(HC43&gt;HE43,"W",IF(HC43=HE43,"D","L")))</f>
        <v/>
      </c>
      <c r="HG43" s="380"/>
      <c r="HH43" s="380"/>
      <c r="HI43" s="92">
        <v>18</v>
      </c>
      <c r="HJ43" s="94" t="s">
        <v>218</v>
      </c>
      <c r="HK43" s="272">
        <f ca="1">IFERROR(INDIRECT("fixtures!" &amp; Dashboard!J1 &amp;325) - Dashboard!K1/24,"TBC")</f>
        <v>46130.625</v>
      </c>
      <c r="HL43" s="29"/>
      <c r="HM43" s="29" t="s">
        <v>7</v>
      </c>
      <c r="HN43" s="29" t="s">
        <v>92</v>
      </c>
      <c r="HO43" s="92" t="str">
        <f>IF(ISBLANK(fixtures!$L325),"",fixtures!$L325)</f>
        <v/>
      </c>
      <c r="HP43" s="29" t="str">
        <f>IF(ISBLANK(fixtures!$L325),"",":")</f>
        <v/>
      </c>
      <c r="HQ43" s="94" t="str">
        <f>IF(ISBLANK(fixtures!$K325),"",fixtures!$K325)</f>
        <v/>
      </c>
      <c r="HR43" s="29" t="str">
        <f>IF(ISBLANK(fixtures!$L325),"",IF(HO43&gt;HQ43,"W",IF(HO43=HQ43,"D","L")))</f>
        <v/>
      </c>
      <c r="HS43" s="29"/>
      <c r="HT43" s="29"/>
      <c r="HU43" s="97">
        <v>18</v>
      </c>
      <c r="HV43" s="99" t="s">
        <v>218</v>
      </c>
      <c r="HW43" s="278">
        <f ca="1">IFERROR(INDIRECT("fixtures!" &amp; Dashboard!J1 &amp;327) - Dashboard!K1/24,"TBC")</f>
        <v>46130.625</v>
      </c>
      <c r="HX43" s="31"/>
      <c r="HY43" s="31" t="s">
        <v>444</v>
      </c>
      <c r="HZ43" s="31" t="s">
        <v>92</v>
      </c>
      <c r="IA43" s="97" t="str">
        <f>IF(ISBLANK(fixtures!$L327),"",fixtures!$L327)</f>
        <v/>
      </c>
      <c r="IB43" s="31" t="str">
        <f>IF(ISBLANK(fixtures!$L327),"",":")</f>
        <v/>
      </c>
      <c r="IC43" s="99" t="str">
        <f>IF(ISBLANK(fixtures!$K327),"",fixtures!$K327)</f>
        <v/>
      </c>
      <c r="ID43" s="31" t="str">
        <f>IF(ISBLANK(fixtures!$L327),"",IF(IA43&gt;IC43,"W",IF(IA43=IC43,"D","L")))</f>
        <v/>
      </c>
      <c r="IE43" s="31"/>
      <c r="IF43" s="31"/>
    </row>
    <row r="44" spans="1:252" s="115" customFormat="1">
      <c r="A44" s="66">
        <v>25</v>
      </c>
      <c r="B44" s="68" t="s">
        <v>218</v>
      </c>
      <c r="C44" s="214">
        <f ca="1">IFERROR(INDIRECT("fixtures!" &amp; Dashboard!J1 &amp;332) - Dashboard!K1/24,"TBC")</f>
        <v>46137.625</v>
      </c>
      <c r="D44" s="68"/>
      <c r="E44" s="68" t="s">
        <v>12</v>
      </c>
      <c r="F44" s="68" t="s">
        <v>93</v>
      </c>
      <c r="G44" s="66" t="str">
        <f>IF(ISBLANK(fixtures!$K332),"",fixtures!$K332)</f>
        <v/>
      </c>
      <c r="H44" s="68" t="str">
        <f>IF(ISBLANK(fixtures!$L332),"",":")</f>
        <v/>
      </c>
      <c r="I44" s="68" t="str">
        <f>IF(ISBLANK(fixtures!$L332),"",fixtures!$L332)</f>
        <v/>
      </c>
      <c r="J44" s="68" t="str">
        <f>IF(ISBLANK(fixtures!$L332),"",IF(G44&gt;I44,"W",IF(G44=I44,"D","L")))</f>
        <v/>
      </c>
      <c r="K44" s="68"/>
      <c r="L44" s="68"/>
      <c r="M44" s="382">
        <v>25</v>
      </c>
      <c r="N44" s="383" t="s">
        <v>218</v>
      </c>
      <c r="O44" s="384">
        <f ca="1">IFERROR(INDIRECT("fixtures!" &amp; Dashboard!J1 &amp;336) - Dashboard!K1/24,"TBC")</f>
        <v>46137.625</v>
      </c>
      <c r="P44" s="383"/>
      <c r="Q44" s="383" t="s">
        <v>108</v>
      </c>
      <c r="R44" s="383" t="s">
        <v>92</v>
      </c>
      <c r="S44" s="382" t="str">
        <f>IF(ISBLANK(fixtures!$L336),"",fixtures!$L336)</f>
        <v/>
      </c>
      <c r="T44" s="383" t="str">
        <f>IF(ISBLANK(fixtures!$L336),"",":")</f>
        <v/>
      </c>
      <c r="U44" s="383" t="str">
        <f>IF(ISBLANK(fixtures!$K336),"",fixtures!$K336)</f>
        <v/>
      </c>
      <c r="V44" s="383" t="str">
        <f>IF(ISBLANK(fixtures!$L336),"",IF(S44&gt;U44,"W",IF(S44=U44,"D","L")))</f>
        <v/>
      </c>
      <c r="W44" s="383"/>
      <c r="X44" s="383"/>
      <c r="Y44" s="418">
        <v>25</v>
      </c>
      <c r="Z44" s="419" t="s">
        <v>218</v>
      </c>
      <c r="AA44" s="420">
        <f ca="1">IFERROR(INDIRECT("fixtures!" &amp; Dashboard!J1 &amp;333) - Dashboard!K1/24,"TBC")</f>
        <v>46137.625</v>
      </c>
      <c r="AB44" s="419"/>
      <c r="AC44" s="419" t="s">
        <v>444</v>
      </c>
      <c r="AD44" s="419" t="s">
        <v>93</v>
      </c>
      <c r="AE44" s="418" t="str">
        <f>IF(ISBLANK(fixtures!$K333),"",fixtures!$K333)</f>
        <v/>
      </c>
      <c r="AF44" s="419" t="str">
        <f>IF(ISBLANK(fixtures!$L333),"",":")</f>
        <v/>
      </c>
      <c r="AG44" s="419" t="str">
        <f>IF(ISBLANK(fixtures!$L333),"",fixtures!$L333)</f>
        <v/>
      </c>
      <c r="AH44" s="419" t="str">
        <f>IF(ISBLANK(fixtures!$L333),"",IF(AE44&gt;AG44,"W",IF(AE44=AG44,"D","L")))</f>
        <v/>
      </c>
      <c r="AI44" s="419"/>
      <c r="AJ44" s="419"/>
      <c r="AK44" s="427">
        <v>25</v>
      </c>
      <c r="AL44" s="428" t="s">
        <v>218</v>
      </c>
      <c r="AM44" s="429">
        <f ca="1">IFERROR(INDIRECT("fixtures!" &amp; Dashboard!J1 &amp;338) - Dashboard!K1/24,"TBC")</f>
        <v>46137.625</v>
      </c>
      <c r="AN44" s="428"/>
      <c r="AO44" s="428" t="s">
        <v>11</v>
      </c>
      <c r="AP44" s="428" t="s">
        <v>92</v>
      </c>
      <c r="AQ44" s="427" t="str">
        <f>IF(ISBLANK(fixtures!$L338),"",fixtures!$L338)</f>
        <v/>
      </c>
      <c r="AR44" s="428" t="str">
        <f>IF(ISBLANK(fixtures!$L338),"",":")</f>
        <v/>
      </c>
      <c r="AS44" s="428" t="str">
        <f>IF(ISBLANK(fixtures!$K338),"",fixtures!$K338)</f>
        <v/>
      </c>
      <c r="AT44" s="428" t="str">
        <f>IF(ISBLANK(fixtures!$L338),"",IF(AQ44&gt;AS44,"W",IF(AQ44=AS44,"D","L")))</f>
        <v/>
      </c>
      <c r="AU44" s="428"/>
      <c r="AV44" s="428"/>
      <c r="AW44" s="71">
        <v>25</v>
      </c>
      <c r="AX44" s="73" t="s">
        <v>218</v>
      </c>
      <c r="AY44" s="219">
        <f ca="1">IFERROR(INDIRECT("fixtures!" &amp; Dashboard!J1 &amp;334) - Dashboard!K1/24,"TBC")</f>
        <v>46137.625</v>
      </c>
      <c r="AZ44" s="73"/>
      <c r="BA44" s="73" t="s">
        <v>6</v>
      </c>
      <c r="BB44" s="73" t="s">
        <v>93</v>
      </c>
      <c r="BC44" s="71" t="str">
        <f>IF(ISBLANK(fixtures!$K334),"",fixtures!$K334)</f>
        <v/>
      </c>
      <c r="BD44" s="73" t="str">
        <f>IF(ISBLANK(fixtures!$L334),"",":")</f>
        <v/>
      </c>
      <c r="BE44" s="73" t="str">
        <f>IF(ISBLANK(fixtures!$L334),"",fixtures!$L334)</f>
        <v/>
      </c>
      <c r="BF44" s="73" t="str">
        <f>IF(ISBLANK(fixtures!$L334),"",IF(BC44&gt;BE44,"W",IF(BC44=BE44,"D","L")))</f>
        <v/>
      </c>
      <c r="BG44" s="73"/>
      <c r="BH44" s="73"/>
      <c r="BI44" s="436">
        <v>25</v>
      </c>
      <c r="BJ44" s="437" t="s">
        <v>218</v>
      </c>
      <c r="BK44" s="438">
        <f ca="1">IFERROR(INDIRECT("fixtures!" &amp; Dashboard!J1 &amp;335) - Dashboard!K1/24,"TBC")</f>
        <v>46137.625</v>
      </c>
      <c r="BL44" s="437"/>
      <c r="BM44" s="437" t="s">
        <v>10</v>
      </c>
      <c r="BN44" s="437" t="s">
        <v>93</v>
      </c>
      <c r="BO44" s="436" t="str">
        <f>IF(ISBLANK(fixtures!$K335),"",fixtures!$K335)</f>
        <v/>
      </c>
      <c r="BP44" s="437" t="str">
        <f>IF(ISBLANK(fixtures!$L335),"",":")</f>
        <v/>
      </c>
      <c r="BQ44" s="437" t="str">
        <f>IF(ISBLANK(fixtures!$L335),"",fixtures!$L335)</f>
        <v/>
      </c>
      <c r="BR44" s="437" t="str">
        <f>IF(ISBLANK(fixtures!$L335),"",IF(BO44&gt;BQ44,"W",IF(BO44=BQ44,"D","L")))</f>
        <v/>
      </c>
      <c r="BS44" s="437"/>
      <c r="BT44" s="437"/>
      <c r="BU44" s="146">
        <v>25</v>
      </c>
      <c r="BV44" s="148" t="s">
        <v>218</v>
      </c>
      <c r="BW44" s="225">
        <f ca="1">IFERROR(INDIRECT("fixtures!" &amp; Dashboard!J1 &amp;334) - Dashboard!K1/24,"TBC")</f>
        <v>46137.625</v>
      </c>
      <c r="BX44" s="148"/>
      <c r="BY44" s="148" t="s">
        <v>4</v>
      </c>
      <c r="BZ44" s="148" t="s">
        <v>92</v>
      </c>
      <c r="CA44" s="146" t="str">
        <f>IF(ISBLANK(fixtures!$L334),"",fixtures!$L334)</f>
        <v/>
      </c>
      <c r="CB44" s="148" t="str">
        <f>IF(ISBLANK(fixtures!$L334),"",":")</f>
        <v/>
      </c>
      <c r="CC44" s="148" t="str">
        <f>IF(ISBLANK(fixtures!$K334),"",fixtures!$K334)</f>
        <v/>
      </c>
      <c r="CD44" s="148" t="str">
        <f>IF(ISBLANK(fixtures!$L334),"",IF(CA44&gt;CC44,"W",IF(CA44=CC44,"D","L")))</f>
        <v/>
      </c>
      <c r="CE44" s="148"/>
      <c r="CF44" s="148"/>
      <c r="CG44" s="394">
        <v>25</v>
      </c>
      <c r="CH44" s="395" t="s">
        <v>218</v>
      </c>
      <c r="CI44" s="396">
        <f ca="1">IFERROR(INDIRECT("fixtures!" &amp; Dashboard!J1 &amp;337) - Dashboard!K1/24,"TBC")</f>
        <v>46137.625</v>
      </c>
      <c r="CJ44" s="395"/>
      <c r="CK44" s="395" t="s">
        <v>9</v>
      </c>
      <c r="CL44" s="395" t="s">
        <v>92</v>
      </c>
      <c r="CM44" s="394" t="str">
        <f>IF(ISBLANK(fixtures!$L337),"",fixtures!$L337)</f>
        <v/>
      </c>
      <c r="CN44" s="395" t="str">
        <f>IF(ISBLANK(fixtures!$L337),"",":")</f>
        <v/>
      </c>
      <c r="CO44" s="395" t="str">
        <f>IF(ISBLANK(fixtures!$K337),"",fixtures!$K337)</f>
        <v/>
      </c>
      <c r="CP44" s="395" t="str">
        <f>IF(ISBLANK(fixtures!$L337),"",IF(CM44&gt;CO44,"W",IF(CM44=CO44,"D","L")))</f>
        <v/>
      </c>
      <c r="CQ44" s="395"/>
      <c r="CR44" s="395"/>
      <c r="CS44" s="231">
        <v>25</v>
      </c>
      <c r="CT44" s="232" t="s">
        <v>218</v>
      </c>
      <c r="CU44" s="233">
        <f ca="1">IFERROR(INDIRECT("fixtures!" &amp; Dashboard!J1 &amp;340) - Dashboard!K1/24,"TBC")</f>
        <v>46137.625</v>
      </c>
      <c r="CV44" s="232"/>
      <c r="CW44" s="232" t="s">
        <v>14</v>
      </c>
      <c r="CX44" s="232" t="s">
        <v>92</v>
      </c>
      <c r="CY44" s="231" t="str">
        <f>IF(ISBLANK(fixtures!$L340),"",fixtures!$L340)</f>
        <v/>
      </c>
      <c r="CZ44" s="232" t="str">
        <f>IF(ISBLANK(fixtures!$L340),"",":")</f>
        <v/>
      </c>
      <c r="DA44" s="232" t="str">
        <f>IF(ISBLANK(fixtures!$K340),"",fixtures!$K340)</f>
        <v/>
      </c>
      <c r="DB44" s="232" t="str">
        <f>IF(ISBLANK(fixtures!$L340),"",IF(CY44&gt;DA44,"W",IF(CY44=DA44,"D","L")))</f>
        <v/>
      </c>
      <c r="DC44" s="232"/>
      <c r="DD44" s="232"/>
      <c r="DE44" s="444">
        <v>25</v>
      </c>
      <c r="DF44" s="445" t="s">
        <v>218</v>
      </c>
      <c r="DG44" s="446">
        <f ca="1">IFERROR(INDIRECT("fixtures!" &amp; Dashboard!J1 &amp;336) - Dashboard!K1/24,"TBC")</f>
        <v>46137.625</v>
      </c>
      <c r="DH44" s="445"/>
      <c r="DI44" s="445" t="s">
        <v>2</v>
      </c>
      <c r="DJ44" s="445" t="s">
        <v>93</v>
      </c>
      <c r="DK44" s="444" t="str">
        <f>IF(ISBLANK(fixtures!$K336),"",fixtures!$K336)</f>
        <v/>
      </c>
      <c r="DL44" s="445" t="str">
        <f>IF(ISBLANK(fixtures!$L336),"",":")</f>
        <v/>
      </c>
      <c r="DM44" s="445" t="str">
        <f>IF(ISBLANK(fixtures!$L336),"",fixtures!$L336)</f>
        <v/>
      </c>
      <c r="DN44" s="445" t="str">
        <f>IF(ISBLANK(fixtures!$L336),"",IF(DK44&gt;DM44,"W",IF(DK44=DM44,"D","L")))</f>
        <v/>
      </c>
      <c r="DO44" s="445"/>
      <c r="DP44" s="445"/>
      <c r="DQ44" s="382">
        <v>25</v>
      </c>
      <c r="DR44" s="383" t="s">
        <v>218</v>
      </c>
      <c r="DS44" s="384">
        <f ca="1">IFERROR(INDIRECT("fixtures!" &amp; Dashboard!J1 &amp;333) - Dashboard!K1/24,"TBC")</f>
        <v>46137.625</v>
      </c>
      <c r="DT44" s="383"/>
      <c r="DU44" s="383" t="s">
        <v>3</v>
      </c>
      <c r="DV44" s="383" t="s">
        <v>92</v>
      </c>
      <c r="DW44" s="382" t="str">
        <f>IF(ISBLANK(fixtures!$L333),"",fixtures!$L333)</f>
        <v/>
      </c>
      <c r="DX44" s="383" t="str">
        <f>IF(ISBLANK(fixtures!$L333),"",":")</f>
        <v/>
      </c>
      <c r="DY44" s="383" t="str">
        <f>IF(ISBLANK(fixtures!$K333),"",fixtures!$K333)</f>
        <v/>
      </c>
      <c r="DZ44" s="383" t="str">
        <f>IF(ISBLANK(fixtures!$L333),"",IF(DW44&gt;DY44,"W",IF(DW44=DY44,"D","L")))</f>
        <v/>
      </c>
      <c r="EA44" s="383"/>
      <c r="EB44" s="383"/>
      <c r="EC44" s="207">
        <v>25</v>
      </c>
      <c r="ED44" s="209" t="s">
        <v>218</v>
      </c>
      <c r="EE44" s="239">
        <f ca="1">IFERROR(INDIRECT("fixtures!" &amp; Dashboard!J1 &amp;337) - Dashboard!K1/24,"TBC")</f>
        <v>46137.625</v>
      </c>
      <c r="EF44" s="209"/>
      <c r="EG44" s="209" t="s">
        <v>7</v>
      </c>
      <c r="EH44" s="209" t="s">
        <v>93</v>
      </c>
      <c r="EI44" s="207" t="str">
        <f>IF(ISBLANK(fixtures!$K337),"",fixtures!$K337)</f>
        <v/>
      </c>
      <c r="EJ44" s="209" t="str">
        <f>IF(ISBLANK(fixtures!$L337),"",":")</f>
        <v/>
      </c>
      <c r="EK44" s="209" t="str">
        <f>IF(ISBLANK(fixtures!$L337),"",fixtures!$L337)</f>
        <v/>
      </c>
      <c r="EL44" s="209" t="str">
        <f>IF(ISBLANK(fixtures!$L337),"",IF(EI44&gt;EK44,"W",IF(EI44=EK44,"D","L")))</f>
        <v/>
      </c>
      <c r="EM44" s="209"/>
      <c r="EN44" s="209"/>
      <c r="EO44" s="80">
        <v>25</v>
      </c>
      <c r="EP44" s="82" t="s">
        <v>218</v>
      </c>
      <c r="EQ44" s="245">
        <f ca="1">IFERROR(INDIRECT("fixtures!" &amp; Dashboard!J1 &amp;335) - Dashboard!K1/24,"TBC")</f>
        <v>46137.625</v>
      </c>
      <c r="ER44" s="82"/>
      <c r="ES44" s="82" t="s">
        <v>5</v>
      </c>
      <c r="ET44" s="82" t="s">
        <v>92</v>
      </c>
      <c r="EU44" s="80" t="str">
        <f>IF(ISBLANK(fixtures!$L335),"",fixtures!$L335)</f>
        <v/>
      </c>
      <c r="EV44" s="82" t="str">
        <f>IF(ISBLANK(fixtures!$L335),"",":")</f>
        <v/>
      </c>
      <c r="EW44" s="82" t="str">
        <f>IF(ISBLANK(fixtures!$K335),"",fixtures!$K335)</f>
        <v/>
      </c>
      <c r="EX44" s="82" t="str">
        <f>IF(ISBLANK(fixtures!$L335),"",IF(EU44&gt;EW44,"W",IF(EU44=EW44,"D","L")))</f>
        <v/>
      </c>
      <c r="EY44" s="82"/>
      <c r="EZ44" s="82"/>
      <c r="FA44" s="251">
        <v>25</v>
      </c>
      <c r="FB44" s="252" t="s">
        <v>218</v>
      </c>
      <c r="FC44" s="253">
        <f ca="1">IFERROR(INDIRECT("fixtures!" &amp; Dashboard!J1 &amp;338) - Dashboard!K1/24,"TBC")</f>
        <v>46137.625</v>
      </c>
      <c r="FD44" s="252"/>
      <c r="FE44" s="252" t="s">
        <v>107</v>
      </c>
      <c r="FF44" s="252" t="s">
        <v>93</v>
      </c>
      <c r="FG44" s="251" t="str">
        <f>IF(ISBLANK(fixtures!$K338),"",fixtures!$K338)</f>
        <v/>
      </c>
      <c r="FH44" s="252" t="str">
        <f>IF(ISBLANK(fixtures!$L338),"",":")</f>
        <v/>
      </c>
      <c r="FI44" s="252" t="str">
        <f>IF(ISBLANK(fixtures!$L338),"",fixtures!$L338)</f>
        <v/>
      </c>
      <c r="FJ44" s="252" t="str">
        <f>IF(ISBLANK(fixtures!$L338),"",IF(FG44&gt;FI44,"W",IF(FG44=FI44,"D","L")))</f>
        <v/>
      </c>
      <c r="FK44" s="252"/>
      <c r="FL44" s="252"/>
      <c r="FM44" s="85">
        <v>25</v>
      </c>
      <c r="FN44" s="87" t="s">
        <v>218</v>
      </c>
      <c r="FO44" s="259">
        <f ca="1">IFERROR(INDIRECT("fixtures!" &amp; Dashboard!J1 &amp;332) - Dashboard!K1/24,"TBC")</f>
        <v>46137.625</v>
      </c>
      <c r="FP44" s="87"/>
      <c r="FQ44" s="87" t="s">
        <v>1</v>
      </c>
      <c r="FR44" s="87" t="s">
        <v>92</v>
      </c>
      <c r="FS44" s="85" t="str">
        <f>IF(ISBLANK(fixtures!$L332),"",fixtures!$L332)</f>
        <v/>
      </c>
      <c r="FT44" s="87" t="str">
        <f>IF(ISBLANK(fixtures!$L332),"",":")</f>
        <v/>
      </c>
      <c r="FU44" s="87" t="str">
        <f>IF(ISBLANK(fixtures!$K332),"",fixtures!$K332)</f>
        <v/>
      </c>
      <c r="FV44" s="87" t="str">
        <f>IF(ISBLANK(fixtures!$L332),"",IF(FS44&gt;FU44,"W",IF(FS44=FU44,"D","L")))</f>
        <v/>
      </c>
      <c r="FW44" s="87"/>
      <c r="FX44" s="87"/>
      <c r="FY44" s="402">
        <v>25</v>
      </c>
      <c r="FZ44" s="403" t="s">
        <v>218</v>
      </c>
      <c r="GA44" s="404">
        <f ca="1">IFERROR(INDIRECT("fixtures!" &amp; Dashboard!J1 &amp;339) - Dashboard!K1/24,"TBC")</f>
        <v>46137.625</v>
      </c>
      <c r="GB44" s="403"/>
      <c r="GC44" s="403" t="s">
        <v>443</v>
      </c>
      <c r="GD44" s="403" t="s">
        <v>92</v>
      </c>
      <c r="GE44" s="402" t="str">
        <f>IF(ISBLANK(fixtures!$L339),"",fixtures!$L339)</f>
        <v/>
      </c>
      <c r="GF44" s="403" t="str">
        <f>IF(ISBLANK(fixtures!$L339),"",":")</f>
        <v/>
      </c>
      <c r="GG44" s="403" t="str">
        <f>IF(ISBLANK(fixtures!$K339),"",fixtures!$K339)</f>
        <v/>
      </c>
      <c r="GH44" s="403" t="str">
        <f>IF(ISBLANK(fixtures!$L339),"",IF(GE44&gt;GG44,"W",IF(GE44=GG44,"D","L")))</f>
        <v/>
      </c>
      <c r="GI44" s="403"/>
      <c r="GJ44" s="403"/>
      <c r="GK44" s="89">
        <v>25</v>
      </c>
      <c r="GL44" s="90" t="s">
        <v>218</v>
      </c>
      <c r="GM44" s="266">
        <f ca="1">IFERROR(INDIRECT("fixtures!" &amp; Dashboard!J1 &amp;341) - Dashboard!K1/24,"TBC")</f>
        <v>46137.625</v>
      </c>
      <c r="GN44" s="90"/>
      <c r="GO44" s="90" t="s">
        <v>15</v>
      </c>
      <c r="GP44" s="90" t="s">
        <v>92</v>
      </c>
      <c r="GQ44" s="89" t="str">
        <f>IF(ISBLANK(fixtures!$L341),"",fixtures!$L341)</f>
        <v/>
      </c>
      <c r="GR44" s="90" t="str">
        <f>IF(ISBLANK(fixtures!$L341),"",":")</f>
        <v/>
      </c>
      <c r="GS44" s="90" t="str">
        <f>IF(ISBLANK(fixtures!$K341),"",fixtures!$K341)</f>
        <v/>
      </c>
      <c r="GT44" s="90" t="str">
        <f>IF(ISBLANK(fixtures!$L341),"",IF(GQ44&gt;GS44,"W",IF(GQ44=GS44,"D","L")))</f>
        <v/>
      </c>
      <c r="GU44" s="90"/>
      <c r="GV44" s="90"/>
      <c r="GW44" s="382">
        <v>25</v>
      </c>
      <c r="GX44" s="383" t="s">
        <v>218</v>
      </c>
      <c r="GY44" s="384">
        <f ca="1">IFERROR(INDIRECT("fixtures!" &amp; Dashboard!J1 &amp;339) - Dashboard!K1/24,"TBC")</f>
        <v>46137.625</v>
      </c>
      <c r="GZ44" s="383"/>
      <c r="HA44" s="383" t="s">
        <v>188</v>
      </c>
      <c r="HB44" s="383" t="s">
        <v>93</v>
      </c>
      <c r="HC44" s="382" t="str">
        <f>IF(ISBLANK(fixtures!$K339),"",fixtures!$K339)</f>
        <v/>
      </c>
      <c r="HD44" s="383" t="str">
        <f>IF(ISBLANK(fixtures!$L339),"",":")</f>
        <v/>
      </c>
      <c r="HE44" s="383" t="str">
        <f>IF(ISBLANK(fixtures!$L339),"",fixtures!$L339)</f>
        <v/>
      </c>
      <c r="HF44" s="383" t="str">
        <f>IF(ISBLANK(fixtures!$L339),"",IF(HC44&gt;HE44,"W",IF(HC44=HE44,"D","L")))</f>
        <v/>
      </c>
      <c r="HG44" s="383"/>
      <c r="HH44" s="383"/>
      <c r="HI44" s="92">
        <v>25</v>
      </c>
      <c r="HJ44" s="94" t="s">
        <v>218</v>
      </c>
      <c r="HK44" s="272">
        <f ca="1">IFERROR(INDIRECT("fixtures!" &amp; Dashboard!J1 &amp;340) - Dashboard!K1/24,"TBC")</f>
        <v>46137.625</v>
      </c>
      <c r="HL44" s="94"/>
      <c r="HM44" s="94" t="s">
        <v>8</v>
      </c>
      <c r="HN44" s="94" t="s">
        <v>93</v>
      </c>
      <c r="HO44" s="92" t="str">
        <f>IF(ISBLANK(fixtures!$K340),"",fixtures!$K340)</f>
        <v/>
      </c>
      <c r="HP44" s="94" t="str">
        <f>IF(ISBLANK(fixtures!$L340),"",":")</f>
        <v/>
      </c>
      <c r="HQ44" s="94" t="str">
        <f>IF(ISBLANK(fixtures!$L340),"",fixtures!$L340)</f>
        <v/>
      </c>
      <c r="HR44" s="94" t="str">
        <f>IF(ISBLANK(fixtures!$L340),"",IF(HO44&gt;HQ44,"W",IF(HO44=HQ44,"D","L")))</f>
        <v/>
      </c>
      <c r="HS44" s="94"/>
      <c r="HT44" s="94"/>
      <c r="HU44" s="97">
        <v>25</v>
      </c>
      <c r="HV44" s="99" t="s">
        <v>218</v>
      </c>
      <c r="HW44" s="278">
        <f ca="1">IFERROR(INDIRECT("fixtures!" &amp; Dashboard!J1 &amp;341) - Dashboard!K1/24,"TBC")</f>
        <v>46137.625</v>
      </c>
      <c r="HX44" s="99"/>
      <c r="HY44" s="99" t="s">
        <v>13</v>
      </c>
      <c r="HZ44" s="99" t="s">
        <v>93</v>
      </c>
      <c r="IA44" s="97" t="str">
        <f>IF(ISBLANK(fixtures!$K341),"",fixtures!$K341)</f>
        <v/>
      </c>
      <c r="IB44" s="99" t="str">
        <f>IF(ISBLANK(fixtures!$L341),"",":")</f>
        <v/>
      </c>
      <c r="IC44" s="99" t="str">
        <f>IF(ISBLANK(fixtures!$L341),"",fixtures!$L341)</f>
        <v/>
      </c>
      <c r="ID44" s="99" t="str">
        <f>IF(ISBLANK(fixtures!$L341),"",IF(IA44&gt;IC44,"W",IF(IA44=IC44,"D","L")))</f>
        <v/>
      </c>
      <c r="IE44" s="99"/>
      <c r="IF44" s="99"/>
    </row>
    <row r="45" spans="1:252">
      <c r="A45" s="215" t="s">
        <v>25</v>
      </c>
      <c r="B45" s="68"/>
      <c r="C45" s="214"/>
      <c r="D45" s="6"/>
      <c r="E45" s="6"/>
      <c r="F45" s="6"/>
      <c r="G45" s="66"/>
      <c r="H45" s="6"/>
      <c r="I45" s="68"/>
      <c r="J45" s="6"/>
      <c r="K45" s="6"/>
      <c r="L45" s="6"/>
      <c r="M45" s="385" t="s">
        <v>25</v>
      </c>
      <c r="N45" s="383"/>
      <c r="O45" s="384"/>
      <c r="P45" s="380"/>
      <c r="Q45" s="380"/>
      <c r="R45" s="380"/>
      <c r="S45" s="382"/>
      <c r="T45" s="380"/>
      <c r="U45" s="383"/>
      <c r="V45" s="380"/>
      <c r="W45" s="380"/>
      <c r="X45" s="380"/>
      <c r="Y45" s="421" t="s">
        <v>25</v>
      </c>
      <c r="Z45" s="419"/>
      <c r="AA45" s="420"/>
      <c r="AB45" s="412"/>
      <c r="AC45" s="412"/>
      <c r="AD45" s="412"/>
      <c r="AE45" s="418"/>
      <c r="AF45" s="412"/>
      <c r="AG45" s="419"/>
      <c r="AH45" s="412"/>
      <c r="AI45" s="412"/>
      <c r="AJ45" s="412"/>
      <c r="AK45" s="430" t="s">
        <v>25</v>
      </c>
      <c r="AL45" s="428"/>
      <c r="AM45" s="429"/>
      <c r="AN45" s="413"/>
      <c r="AO45" s="413"/>
      <c r="AP45" s="413"/>
      <c r="AQ45" s="427"/>
      <c r="AR45" s="413"/>
      <c r="AS45" s="428"/>
      <c r="AT45" s="413"/>
      <c r="AU45" s="413"/>
      <c r="AV45" s="413"/>
      <c r="AW45" s="220" t="s">
        <v>25</v>
      </c>
      <c r="AX45" s="73"/>
      <c r="AY45" s="219"/>
      <c r="AZ45" s="9"/>
      <c r="BA45" s="9"/>
      <c r="BB45" s="9"/>
      <c r="BC45" s="71"/>
      <c r="BD45" s="9"/>
      <c r="BE45" s="73"/>
      <c r="BF45" s="9"/>
      <c r="BG45" s="9"/>
      <c r="BH45" s="9"/>
      <c r="BI45" s="439" t="s">
        <v>25</v>
      </c>
      <c r="BJ45" s="437"/>
      <c r="BK45" s="438"/>
      <c r="BL45" s="414"/>
      <c r="BM45" s="414"/>
      <c r="BN45" s="414"/>
      <c r="BO45" s="436"/>
      <c r="BP45" s="414"/>
      <c r="BQ45" s="437"/>
      <c r="BR45" s="414"/>
      <c r="BS45" s="414"/>
      <c r="BT45" s="414"/>
      <c r="BU45" s="226" t="s">
        <v>25</v>
      </c>
      <c r="BV45" s="148"/>
      <c r="BW45" s="225"/>
      <c r="BX45" s="13"/>
      <c r="BY45" s="13"/>
      <c r="BZ45" s="13"/>
      <c r="CA45" s="146"/>
      <c r="CB45" s="13"/>
      <c r="CC45" s="148"/>
      <c r="CD45" s="13"/>
      <c r="CE45" s="13"/>
      <c r="CF45" s="13"/>
      <c r="CG45" s="397" t="s">
        <v>25</v>
      </c>
      <c r="CH45" s="395"/>
      <c r="CI45" s="396"/>
      <c r="CJ45" s="14"/>
      <c r="CK45" s="14"/>
      <c r="CL45" s="14"/>
      <c r="CM45" s="394"/>
      <c r="CN45" s="14"/>
      <c r="CO45" s="395"/>
      <c r="CP45" s="14"/>
      <c r="CQ45" s="14"/>
      <c r="CR45" s="14"/>
      <c r="CS45" s="234" t="s">
        <v>25</v>
      </c>
      <c r="CT45" s="232"/>
      <c r="CU45" s="233"/>
      <c r="CV45" s="17"/>
      <c r="CW45" s="17"/>
      <c r="CX45" s="17"/>
      <c r="CY45" s="231"/>
      <c r="CZ45" s="17"/>
      <c r="DA45" s="232"/>
      <c r="DB45" s="17"/>
      <c r="DC45" s="17"/>
      <c r="DD45" s="17"/>
      <c r="DE45" s="447" t="s">
        <v>25</v>
      </c>
      <c r="DF45" s="445"/>
      <c r="DG45" s="446"/>
      <c r="DH45" s="143"/>
      <c r="DI45" s="143"/>
      <c r="DJ45" s="143"/>
      <c r="DK45" s="444"/>
      <c r="DL45" s="143"/>
      <c r="DM45" s="445"/>
      <c r="DN45" s="143"/>
      <c r="DO45" s="143"/>
      <c r="DP45" s="143"/>
      <c r="DQ45" s="385" t="s">
        <v>25</v>
      </c>
      <c r="DR45" s="383"/>
      <c r="DS45" s="384"/>
      <c r="DT45" s="380"/>
      <c r="DU45" s="380"/>
      <c r="DV45" s="380"/>
      <c r="DW45" s="382"/>
      <c r="DX45" s="380"/>
      <c r="DY45" s="383"/>
      <c r="DZ45" s="380"/>
      <c r="EA45" s="380"/>
      <c r="EB45" s="380"/>
      <c r="EC45" s="240" t="s">
        <v>25</v>
      </c>
      <c r="ED45" s="209"/>
      <c r="EE45" s="239"/>
      <c r="EF45" s="19"/>
      <c r="EG45" s="19"/>
      <c r="EH45" s="19"/>
      <c r="EI45" s="207"/>
      <c r="EJ45" s="19"/>
      <c r="EK45" s="209"/>
      <c r="EL45" s="19"/>
      <c r="EM45" s="19"/>
      <c r="EN45" s="19"/>
      <c r="EO45" s="246" t="s">
        <v>25</v>
      </c>
      <c r="EP45" s="82"/>
      <c r="EQ45" s="245"/>
      <c r="ER45" s="21"/>
      <c r="ES45" s="21"/>
      <c r="ET45" s="21"/>
      <c r="EU45" s="80"/>
      <c r="EV45" s="21"/>
      <c r="EW45" s="82"/>
      <c r="EX45" s="21"/>
      <c r="EY45" s="21"/>
      <c r="EZ45" s="21"/>
      <c r="FA45" s="254" t="s">
        <v>25</v>
      </c>
      <c r="FB45" s="252"/>
      <c r="FC45" s="253"/>
      <c r="FD45" s="23"/>
      <c r="FE45" s="23"/>
      <c r="FF45" s="23"/>
      <c r="FG45" s="251"/>
      <c r="FH45" s="23"/>
      <c r="FI45" s="252"/>
      <c r="FJ45" s="23"/>
      <c r="FK45" s="23"/>
      <c r="FL45" s="23"/>
      <c r="FM45" s="260" t="s">
        <v>25</v>
      </c>
      <c r="FN45" s="87"/>
      <c r="FO45" s="259"/>
      <c r="FP45" s="25"/>
      <c r="FQ45" s="25"/>
      <c r="FR45" s="25"/>
      <c r="FS45" s="85"/>
      <c r="FT45" s="25"/>
      <c r="FU45" s="87"/>
      <c r="FV45" s="25"/>
      <c r="FW45" s="25"/>
      <c r="FX45" s="25"/>
      <c r="FY45" s="405" t="s">
        <v>25</v>
      </c>
      <c r="FZ45" s="403"/>
      <c r="GA45" s="404"/>
      <c r="GB45" s="390"/>
      <c r="GC45" s="390"/>
      <c r="GD45" s="390"/>
      <c r="GE45" s="402"/>
      <c r="GF45" s="390"/>
      <c r="GG45" s="403"/>
      <c r="GH45" s="390"/>
      <c r="GI45" s="390"/>
      <c r="GJ45" s="390"/>
      <c r="GK45" s="267" t="s">
        <v>25</v>
      </c>
      <c r="GL45" s="90"/>
      <c r="GM45" s="266"/>
      <c r="GN45" s="27"/>
      <c r="GO45" s="27"/>
      <c r="GP45" s="27"/>
      <c r="GQ45" s="89"/>
      <c r="GR45" s="27"/>
      <c r="GS45" s="90"/>
      <c r="GT45" s="27"/>
      <c r="GU45" s="27"/>
      <c r="GV45" s="27"/>
      <c r="GW45" s="385" t="s">
        <v>25</v>
      </c>
      <c r="GX45" s="383"/>
      <c r="GY45" s="384"/>
      <c r="GZ45" s="380"/>
      <c r="HA45" s="380"/>
      <c r="HB45" s="380"/>
      <c r="HC45" s="382"/>
      <c r="HD45" s="380"/>
      <c r="HE45" s="383"/>
      <c r="HF45" s="380"/>
      <c r="HG45" s="380"/>
      <c r="HH45" s="380"/>
      <c r="HI45" s="273" t="s">
        <v>25</v>
      </c>
      <c r="HJ45" s="94"/>
      <c r="HK45" s="272"/>
      <c r="HL45" s="29"/>
      <c r="HM45" s="29"/>
      <c r="HN45" s="29"/>
      <c r="HO45" s="92"/>
      <c r="HP45" s="29"/>
      <c r="HQ45" s="94"/>
      <c r="HR45" s="29"/>
      <c r="HS45" s="29"/>
      <c r="HT45" s="29"/>
      <c r="HU45" s="279" t="s">
        <v>25</v>
      </c>
      <c r="HV45" s="99"/>
      <c r="HW45" s="278"/>
      <c r="HX45" s="31"/>
      <c r="HY45" s="31"/>
      <c r="HZ45" s="31"/>
      <c r="IA45" s="97"/>
      <c r="IB45" s="31"/>
      <c r="IC45" s="99"/>
      <c r="ID45" s="31"/>
      <c r="IE45" s="31"/>
      <c r="IF45" s="31"/>
    </row>
    <row r="46" spans="1:252">
      <c r="A46" s="66">
        <v>2</v>
      </c>
      <c r="B46" s="68" t="s">
        <v>218</v>
      </c>
      <c r="C46" s="214">
        <f ca="1">IFERROR(INDIRECT("fixtures!" &amp; Dashboard!J1 &amp;342) - Dashboard!K1/24,"TBC")</f>
        <v>46144.625</v>
      </c>
      <c r="D46" s="6"/>
      <c r="E46" s="6" t="s">
        <v>108</v>
      </c>
      <c r="F46" s="6" t="s">
        <v>93</v>
      </c>
      <c r="G46" s="66" t="str">
        <f>IF(ISBLANK(fixtures!$K342),"",fixtures!$K342)</f>
        <v/>
      </c>
      <c r="H46" s="6" t="str">
        <f>IF(ISBLANK(fixtures!$L342),"",":")</f>
        <v/>
      </c>
      <c r="I46" s="68" t="str">
        <f>IF(ISBLANK(fixtures!$L342),"",fixtures!$L342)</f>
        <v/>
      </c>
      <c r="J46" s="6" t="str">
        <f>IF(ISBLANK(fixtures!$L342),"",IF(G46&gt;I46,"W",IF(G46=I46,"D","L")))</f>
        <v/>
      </c>
      <c r="K46" s="6"/>
      <c r="L46" s="6"/>
      <c r="M46" s="382">
        <v>2</v>
      </c>
      <c r="N46" s="383" t="s">
        <v>218</v>
      </c>
      <c r="O46" s="384">
        <f ca="1">IFERROR(INDIRECT("fixtures!" &amp; Dashboard!J1 &amp;343) - Dashboard!K1/24,"TBC")</f>
        <v>46144.625</v>
      </c>
      <c r="P46" s="380"/>
      <c r="Q46" s="380" t="s">
        <v>13</v>
      </c>
      <c r="R46" s="380" t="s">
        <v>93</v>
      </c>
      <c r="S46" s="382" t="str">
        <f>IF(ISBLANK(fixtures!$K343),"",fixtures!$K343)</f>
        <v/>
      </c>
      <c r="T46" s="380" t="str">
        <f>IF(ISBLANK(fixtures!$L343),"",":")</f>
        <v/>
      </c>
      <c r="U46" s="383" t="str">
        <f>IF(ISBLANK(fixtures!$L343),"",fixtures!$L343)</f>
        <v/>
      </c>
      <c r="V46" s="380" t="str">
        <f>IF(ISBLANK(fixtures!$L343),"",IF(S46&gt;U46,"W",IF(S46=U46,"D","L")))</f>
        <v/>
      </c>
      <c r="W46" s="380"/>
      <c r="X46" s="380"/>
      <c r="Y46" s="418">
        <v>2</v>
      </c>
      <c r="Z46" s="419" t="s">
        <v>218</v>
      </c>
      <c r="AA46" s="420">
        <f ca="1">IFERROR(INDIRECT("fixtures!" &amp; Dashboard!J1 &amp;344) - Dashboard!K1/24,"TBC")</f>
        <v>46144.625</v>
      </c>
      <c r="AB46" s="412"/>
      <c r="AC46" s="412" t="s">
        <v>7</v>
      </c>
      <c r="AD46" s="412" t="s">
        <v>93</v>
      </c>
      <c r="AE46" s="418" t="str">
        <f>IF(ISBLANK(fixtures!$K344),"",fixtures!$K344)</f>
        <v/>
      </c>
      <c r="AF46" s="412" t="str">
        <f>IF(ISBLANK(fixtures!$L344),"",":")</f>
        <v/>
      </c>
      <c r="AG46" s="419" t="str">
        <f>IF(ISBLANK(fixtures!$L344),"",fixtures!$L344)</f>
        <v/>
      </c>
      <c r="AH46" s="412" t="str">
        <f>IF(ISBLANK(fixtures!$L344),"",IF(AE46&gt;AG46,"W",IF(AE46=AG46,"D","L")))</f>
        <v/>
      </c>
      <c r="AI46" s="412"/>
      <c r="AJ46" s="412"/>
      <c r="AK46" s="427">
        <v>2</v>
      </c>
      <c r="AL46" s="428" t="s">
        <v>218</v>
      </c>
      <c r="AM46" s="429">
        <f ca="1">IFERROR(INDIRECT("fixtures!" &amp; Dashboard!J1 &amp;345) - Dashboard!K1/24,"TBC")</f>
        <v>46144.625</v>
      </c>
      <c r="AN46" s="413"/>
      <c r="AO46" s="413" t="s">
        <v>14</v>
      </c>
      <c r="AP46" s="413" t="s">
        <v>93</v>
      </c>
      <c r="AQ46" s="427" t="str">
        <f>IF(ISBLANK(fixtures!$K345),"",fixtures!$K345)</f>
        <v/>
      </c>
      <c r="AR46" s="413" t="str">
        <f>IF(ISBLANK(fixtures!$L345),"",":")</f>
        <v/>
      </c>
      <c r="AS46" s="428" t="str">
        <f>IF(ISBLANK(fixtures!$L345),"",fixtures!$L345)</f>
        <v/>
      </c>
      <c r="AT46" s="413" t="str">
        <f>IF(ISBLANK(fixtures!$L345),"",IF(AQ46&gt;AS46,"W",IF(AQ46=AS46,"D","L")))</f>
        <v/>
      </c>
      <c r="AU46" s="413"/>
      <c r="AV46" s="413"/>
      <c r="AW46" s="71">
        <v>2</v>
      </c>
      <c r="AX46" s="73" t="s">
        <v>218</v>
      </c>
      <c r="AY46" s="219">
        <f ca="1">IFERROR(INDIRECT("fixtures!" &amp; Dashboard!J1 &amp;350) - Dashboard!K1/24,"TBC")</f>
        <v>46144.625</v>
      </c>
      <c r="AZ46" s="9"/>
      <c r="BA46" s="9" t="s">
        <v>12</v>
      </c>
      <c r="BB46" s="9" t="s">
        <v>92</v>
      </c>
      <c r="BC46" s="71" t="str">
        <f>IF(ISBLANK(fixtures!$L350),"",fixtures!$L350)</f>
        <v/>
      </c>
      <c r="BD46" s="9" t="str">
        <f>IF(ISBLANK(fixtures!$L350),"",":")</f>
        <v/>
      </c>
      <c r="BE46" s="73" t="str">
        <f>IF(ISBLANK(fixtures!$K350),"",fixtures!$K350)</f>
        <v/>
      </c>
      <c r="BF46" s="9" t="str">
        <f>IF(ISBLANK(fixtures!$L350),"",IF(BC46&gt;BE46,"W",IF(BC46=BE46,"D","L")))</f>
        <v/>
      </c>
      <c r="BG46" s="9"/>
      <c r="BH46" s="9"/>
      <c r="BI46" s="436">
        <v>2</v>
      </c>
      <c r="BJ46" s="437" t="s">
        <v>218</v>
      </c>
      <c r="BK46" s="438">
        <f ca="1">IFERROR(INDIRECT("fixtures!" &amp; Dashboard!J1 &amp;348) - Dashboard!K1/24,"TBC")</f>
        <v>46144.625</v>
      </c>
      <c r="BL46" s="414"/>
      <c r="BM46" s="414" t="s">
        <v>444</v>
      </c>
      <c r="BN46" s="414" t="s">
        <v>92</v>
      </c>
      <c r="BO46" s="436" t="str">
        <f>IF(ISBLANK(fixtures!$L348),"",fixtures!$L348)</f>
        <v/>
      </c>
      <c r="BP46" s="414" t="str">
        <f>IF(ISBLANK(fixtures!$L348),"",":")</f>
        <v/>
      </c>
      <c r="BQ46" s="437" t="str">
        <f>IF(ISBLANK(fixtures!$K348),"",fixtures!$K348)</f>
        <v/>
      </c>
      <c r="BR46" s="414" t="str">
        <f>IF(ISBLANK(fixtures!$L348),"",IF(BO46&gt;BQ46,"W",IF(BO46=BQ46,"D","L")))</f>
        <v/>
      </c>
      <c r="BS46" s="414"/>
      <c r="BT46" s="414"/>
      <c r="BU46" s="146">
        <v>2</v>
      </c>
      <c r="BV46" s="148" t="s">
        <v>218</v>
      </c>
      <c r="BW46" s="225">
        <f ca="1">IFERROR(INDIRECT("fixtures!" &amp; Dashboard!J1 &amp;346) - Dashboard!K1/24,"TBC")</f>
        <v>46144.625</v>
      </c>
      <c r="BX46" s="13"/>
      <c r="BY46" s="13" t="s">
        <v>188</v>
      </c>
      <c r="BZ46" s="13" t="s">
        <v>93</v>
      </c>
      <c r="CA46" s="146" t="str">
        <f>IF(ISBLANK(fixtures!$K346),"",fixtures!$K346)</f>
        <v/>
      </c>
      <c r="CB46" s="13" t="str">
        <f>IF(ISBLANK(fixtures!$L346),"",":")</f>
        <v/>
      </c>
      <c r="CC46" s="148" t="str">
        <f>IF(ISBLANK(fixtures!$L346),"",fixtures!$L346)</f>
        <v/>
      </c>
      <c r="CD46" s="13" t="str">
        <f>IF(ISBLANK(fixtures!$L346),"",IF(CA46&gt;CC46,"W",IF(CA46=CC46,"D","L")))</f>
        <v/>
      </c>
      <c r="CE46" s="13"/>
      <c r="CF46" s="13"/>
      <c r="CG46" s="394">
        <v>2</v>
      </c>
      <c r="CH46" s="395" t="s">
        <v>218</v>
      </c>
      <c r="CI46" s="396">
        <f ca="1">IFERROR(INDIRECT("fixtures!" &amp; Dashboard!J1 &amp;344) - Dashboard!K1/24,"TBC")</f>
        <v>46144.625</v>
      </c>
      <c r="CJ46" s="14"/>
      <c r="CK46" s="14" t="s">
        <v>3</v>
      </c>
      <c r="CL46" s="14" t="s">
        <v>92</v>
      </c>
      <c r="CM46" s="394" t="str">
        <f>IF(ISBLANK(fixtures!$L344),"",fixtures!$L344)</f>
        <v/>
      </c>
      <c r="CN46" s="14" t="str">
        <f>IF(ISBLANK(fixtures!$L344),"",":")</f>
        <v/>
      </c>
      <c r="CO46" s="395" t="str">
        <f>IF(ISBLANK(fixtures!$K344),"",fixtures!$K344)</f>
        <v/>
      </c>
      <c r="CP46" s="14" t="str">
        <f>IF(ISBLANK(fixtures!$L344),"",IF(CM46&gt;CO46,"W",IF(CM46=CO46,"D","L")))</f>
        <v/>
      </c>
      <c r="CQ46" s="14"/>
      <c r="CR46" s="14"/>
      <c r="CS46" s="231">
        <v>2</v>
      </c>
      <c r="CT46" s="232" t="s">
        <v>218</v>
      </c>
      <c r="CU46" s="233">
        <f ca="1">IFERROR(INDIRECT("fixtures!" &amp; Dashboard!J1 &amp;347) - Dashboard!K1/24,"TBC")</f>
        <v>46144.625</v>
      </c>
      <c r="CV46" s="17"/>
      <c r="CW46" s="17" t="s">
        <v>10</v>
      </c>
      <c r="CX46" s="17" t="s">
        <v>93</v>
      </c>
      <c r="CY46" s="231" t="str">
        <f>IF(ISBLANK(fixtures!$K347),"",fixtures!$K347)</f>
        <v/>
      </c>
      <c r="CZ46" s="17" t="str">
        <f>IF(ISBLANK(fixtures!$L347),"",":")</f>
        <v/>
      </c>
      <c r="DA46" s="232" t="str">
        <f>IF(ISBLANK(fixtures!$L347),"",fixtures!$L347)</f>
        <v/>
      </c>
      <c r="DB46" s="17" t="str">
        <f>IF(ISBLANK(fixtures!$L347),"",IF(CY46&gt;DA46,"W",IF(CY46=DA46,"D","L")))</f>
        <v/>
      </c>
      <c r="DC46" s="17"/>
      <c r="DD46" s="17"/>
      <c r="DE46" s="444">
        <v>2</v>
      </c>
      <c r="DF46" s="445" t="s">
        <v>218</v>
      </c>
      <c r="DG46" s="446">
        <f ca="1">IFERROR(INDIRECT("fixtures!" &amp; Dashboard!J1 &amp;342) - Dashboard!K1/24,"TBC")</f>
        <v>46144.625</v>
      </c>
      <c r="DH46" s="143"/>
      <c r="DI46" s="143" t="s">
        <v>1</v>
      </c>
      <c r="DJ46" s="143" t="s">
        <v>92</v>
      </c>
      <c r="DK46" s="444" t="str">
        <f>IF(ISBLANK(fixtures!$L342),"",fixtures!$L342)</f>
        <v/>
      </c>
      <c r="DL46" s="143" t="str">
        <f>IF(ISBLANK(fixtures!$L342),"",":")</f>
        <v/>
      </c>
      <c r="DM46" s="445" t="str">
        <f>IF(ISBLANK(fixtures!$K342),"",fixtures!$K342)</f>
        <v/>
      </c>
      <c r="DN46" s="143" t="str">
        <f>IF(ISBLANK(fixtures!$L342),"",IF(DK46&gt;DM46,"W",IF(DK46=DM46,"D","L")))</f>
        <v/>
      </c>
      <c r="DO46" s="143"/>
      <c r="DP46" s="143"/>
      <c r="DQ46" s="382">
        <v>2</v>
      </c>
      <c r="DR46" s="383" t="s">
        <v>218</v>
      </c>
      <c r="DS46" s="384">
        <f ca="1">IFERROR(INDIRECT("fixtures!" &amp; Dashboard!J1 &amp;348) - Dashboard!K1/24,"TBC")</f>
        <v>46144.625</v>
      </c>
      <c r="DT46" s="380"/>
      <c r="DU46" s="380" t="s">
        <v>5</v>
      </c>
      <c r="DV46" s="380" t="s">
        <v>93</v>
      </c>
      <c r="DW46" s="382" t="str">
        <f>IF(ISBLANK(fixtures!$K348),"",fixtures!$K348)</f>
        <v/>
      </c>
      <c r="DX46" s="380" t="str">
        <f>IF(ISBLANK(fixtures!$L348),"",":")</f>
        <v/>
      </c>
      <c r="DY46" s="383" t="str">
        <f>IF(ISBLANK(fixtures!$L348),"",fixtures!$L348)</f>
        <v/>
      </c>
      <c r="DZ46" s="380" t="str">
        <f>IF(ISBLANK(fixtures!$L348),"",IF(DW46&gt;DY46,"W",IF(DW46=DY46,"D","L")))</f>
        <v/>
      </c>
      <c r="EA46" s="380"/>
      <c r="EB46" s="380"/>
      <c r="EC46" s="207">
        <v>2</v>
      </c>
      <c r="ED46" s="209" t="s">
        <v>218</v>
      </c>
      <c r="EE46" s="239">
        <f ca="1">IFERROR(INDIRECT("fixtures!" &amp; Dashboard!J1 &amp;349) - Dashboard!K1/24,"TBC")</f>
        <v>46144.625</v>
      </c>
      <c r="EF46" s="19"/>
      <c r="EG46" s="19" t="s">
        <v>11</v>
      </c>
      <c r="EH46" s="19" t="s">
        <v>92</v>
      </c>
      <c r="EI46" s="207" t="str">
        <f>IF(ISBLANK(fixtures!$L349),"",fixtures!$L349)</f>
        <v/>
      </c>
      <c r="EJ46" s="19" t="str">
        <f>IF(ISBLANK(fixtures!$L349),"",":")</f>
        <v/>
      </c>
      <c r="EK46" s="209" t="str">
        <f>IF(ISBLANK(fixtures!$K349),"",fixtures!$K349)</f>
        <v/>
      </c>
      <c r="EL46" s="19" t="str">
        <f>IF(ISBLANK(fixtures!$L349),"",IF(EI46&gt;EK46,"W",IF(EI46=EK46,"D","L")))</f>
        <v/>
      </c>
      <c r="EM46" s="19"/>
      <c r="EN46" s="19"/>
      <c r="EO46" s="80">
        <v>2</v>
      </c>
      <c r="EP46" s="82" t="s">
        <v>218</v>
      </c>
      <c r="EQ46" s="245">
        <f ca="1">IFERROR(INDIRECT("fixtures!" &amp; Dashboard!J1 &amp;347) - Dashboard!K1/24,"TBC")</f>
        <v>46144.625</v>
      </c>
      <c r="ER46" s="21"/>
      <c r="ES46" s="21" t="s">
        <v>8</v>
      </c>
      <c r="ET46" s="21" t="s">
        <v>92</v>
      </c>
      <c r="EU46" s="80" t="str">
        <f>IF(ISBLANK(fixtures!$L347),"",fixtures!$L347)</f>
        <v/>
      </c>
      <c r="EV46" s="21" t="str">
        <f>IF(ISBLANK(fixtures!$L347),"",":")</f>
        <v/>
      </c>
      <c r="EW46" s="82" t="str">
        <f>IF(ISBLANK(fixtures!$K347),"",fixtures!$K347)</f>
        <v/>
      </c>
      <c r="EX46" s="21" t="str">
        <f>IF(ISBLANK(fixtures!$L347),"",IF(EU46&gt;EW46,"W",IF(EU46=EW46,"D","L")))</f>
        <v/>
      </c>
      <c r="EY46" s="21"/>
      <c r="EZ46" s="21"/>
      <c r="FA46" s="251">
        <v>2</v>
      </c>
      <c r="FB46" s="252" t="s">
        <v>218</v>
      </c>
      <c r="FC46" s="253">
        <f ca="1">IFERROR(INDIRECT("fixtures!" &amp; Dashboard!J1 &amp;349) - Dashboard!K1/24,"TBC")</f>
        <v>46144.625</v>
      </c>
      <c r="FD46" s="23"/>
      <c r="FE46" s="23" t="s">
        <v>9</v>
      </c>
      <c r="FF46" s="23" t="s">
        <v>93</v>
      </c>
      <c r="FG46" s="251" t="str">
        <f>IF(ISBLANK(fixtures!$K349),"",fixtures!$K349)</f>
        <v/>
      </c>
      <c r="FH46" s="23" t="str">
        <f>IF(ISBLANK(fixtures!$L349),"",":")</f>
        <v/>
      </c>
      <c r="FI46" s="252" t="str">
        <f>IF(ISBLANK(fixtures!$L349),"",fixtures!$L349)</f>
        <v/>
      </c>
      <c r="FJ46" s="23" t="str">
        <f>IF(ISBLANK(fixtures!$L349),"",IF(FG46&gt;FI46,"W",IF(FG46=FI46,"D","L")))</f>
        <v/>
      </c>
      <c r="FK46" s="23"/>
      <c r="FL46" s="23"/>
      <c r="FM46" s="85">
        <v>2</v>
      </c>
      <c r="FN46" s="87" t="s">
        <v>218</v>
      </c>
      <c r="FO46" s="259">
        <f ca="1">IFERROR(INDIRECT("fixtures!" &amp; Dashboard!J1 &amp;350) - Dashboard!K1/24,"TBC")</f>
        <v>46144.625</v>
      </c>
      <c r="FP46" s="25"/>
      <c r="FQ46" s="25" t="s">
        <v>4</v>
      </c>
      <c r="FR46" s="25" t="s">
        <v>93</v>
      </c>
      <c r="FS46" s="85" t="str">
        <f>IF(ISBLANK(fixtures!$K350),"",fixtures!$K350)</f>
        <v/>
      </c>
      <c r="FT46" s="25" t="str">
        <f>IF(ISBLANK(fixtures!$L350),"",":")</f>
        <v/>
      </c>
      <c r="FU46" s="87" t="str">
        <f>IF(ISBLANK(fixtures!$L350),"",fixtures!$L350)</f>
        <v/>
      </c>
      <c r="FV46" s="25" t="str">
        <f>IF(ISBLANK(fixtures!$L350),"",IF(FS46&gt;FU46,"W",IF(FS46=FU46,"D","L")))</f>
        <v/>
      </c>
      <c r="FW46" s="25"/>
      <c r="FX46" s="25"/>
      <c r="FY46" s="402">
        <v>2</v>
      </c>
      <c r="FZ46" s="403" t="s">
        <v>218</v>
      </c>
      <c r="GA46" s="404">
        <f ca="1">IFERROR(INDIRECT("fixtures!" &amp; Dashboard!J1 &amp;346) - Dashboard!K1/24,"TBC")</f>
        <v>46144.625</v>
      </c>
      <c r="GB46" s="390"/>
      <c r="GC46" s="390" t="s">
        <v>6</v>
      </c>
      <c r="GD46" s="390" t="s">
        <v>92</v>
      </c>
      <c r="GE46" s="402" t="str">
        <f>IF(ISBLANK(fixtures!$L346),"",fixtures!$L346)</f>
        <v/>
      </c>
      <c r="GF46" s="390" t="str">
        <f>IF(ISBLANK(fixtures!$L346),"",":")</f>
        <v/>
      </c>
      <c r="GG46" s="403" t="str">
        <f>IF(ISBLANK(fixtures!$K346),"",fixtures!$K346)</f>
        <v/>
      </c>
      <c r="GH46" s="390" t="str">
        <f>IF(ISBLANK(fixtures!$L346),"",IF(GE46&gt;GG46,"W",IF(GE46=GG46,"D","L")))</f>
        <v/>
      </c>
      <c r="GI46" s="390"/>
      <c r="GJ46" s="390"/>
      <c r="GK46" s="89">
        <v>2</v>
      </c>
      <c r="GL46" s="90" t="s">
        <v>218</v>
      </c>
      <c r="GM46" s="266">
        <f ca="1">IFERROR(INDIRECT("fixtures!" &amp; Dashboard!J1 &amp;343) - Dashboard!K1/24,"TBC")</f>
        <v>46144.625</v>
      </c>
      <c r="GN46" s="27"/>
      <c r="GO46" s="27" t="s">
        <v>2</v>
      </c>
      <c r="GP46" s="27" t="s">
        <v>92</v>
      </c>
      <c r="GQ46" s="89" t="str">
        <f>IF(ISBLANK(fixtures!$L343),"",fixtures!$L343)</f>
        <v/>
      </c>
      <c r="GR46" s="27" t="str">
        <f>IF(ISBLANK(fixtures!$L343),"",":")</f>
        <v/>
      </c>
      <c r="GS46" s="90" t="str">
        <f>IF(ISBLANK(fixtures!$K343),"",fixtures!$K343)</f>
        <v/>
      </c>
      <c r="GT46" s="27" t="str">
        <f>IF(ISBLANK(fixtures!$L343),"",IF(GQ46&gt;GS46,"W",IF(GQ46=GS46,"D","L")))</f>
        <v/>
      </c>
      <c r="GU46" s="27"/>
      <c r="GV46" s="27"/>
      <c r="GW46" s="382">
        <v>2</v>
      </c>
      <c r="GX46" s="383" t="s">
        <v>218</v>
      </c>
      <c r="GY46" s="384">
        <f ca="1">IFERROR(INDIRECT("fixtures!" &amp; Dashboard!J1 &amp;351) - Dashboard!K1/24,"TBC")</f>
        <v>46144.625</v>
      </c>
      <c r="GZ46" s="380"/>
      <c r="HA46" s="380" t="s">
        <v>15</v>
      </c>
      <c r="HB46" s="380" t="s">
        <v>92</v>
      </c>
      <c r="HC46" s="382" t="str">
        <f>IF(ISBLANK(fixtures!$L351),"",fixtures!$L351)</f>
        <v/>
      </c>
      <c r="HD46" s="380" t="str">
        <f>IF(ISBLANK(fixtures!$L351),"",":")</f>
        <v/>
      </c>
      <c r="HE46" s="383" t="str">
        <f>IF(ISBLANK(fixtures!$K351),"",fixtures!$K351)</f>
        <v/>
      </c>
      <c r="HF46" s="380" t="str">
        <f>IF(ISBLANK(fixtures!$L351),"",IF(HC46&gt;HE46,"W",IF(HC46=HE46,"D","L")))</f>
        <v/>
      </c>
      <c r="HG46" s="380"/>
      <c r="HH46" s="380"/>
      <c r="HI46" s="92">
        <v>2</v>
      </c>
      <c r="HJ46" s="94" t="s">
        <v>218</v>
      </c>
      <c r="HK46" s="272">
        <f ca="1">IFERROR(INDIRECT("fixtures!" &amp; Dashboard!J1 &amp;345) - Dashboard!K1/24,"TBC")</f>
        <v>46144.625</v>
      </c>
      <c r="HL46" s="29"/>
      <c r="HM46" s="29" t="s">
        <v>107</v>
      </c>
      <c r="HN46" s="29" t="s">
        <v>92</v>
      </c>
      <c r="HO46" s="92" t="str">
        <f>IF(ISBLANK(fixtures!$L345),"",fixtures!$L345)</f>
        <v/>
      </c>
      <c r="HP46" s="29" t="str">
        <f>IF(ISBLANK(fixtures!$L345),"",":")</f>
        <v/>
      </c>
      <c r="HQ46" s="94" t="str">
        <f>IF(ISBLANK(fixtures!$K345),"",fixtures!$K345)</f>
        <v/>
      </c>
      <c r="HR46" s="29" t="str">
        <f>IF(ISBLANK(fixtures!$L345),"",IF(HO46&gt;HQ46,"W",IF(HO46=HQ46,"D","L")))</f>
        <v/>
      </c>
      <c r="HS46" s="29"/>
      <c r="HT46" s="29"/>
      <c r="HU46" s="97">
        <v>2</v>
      </c>
      <c r="HV46" s="99" t="s">
        <v>218</v>
      </c>
      <c r="HW46" s="278">
        <f ca="1">IFERROR(INDIRECT("fixtures!" &amp; Dashboard!J1 &amp;351) - Dashboard!K1/24,"TBC")</f>
        <v>46144.625</v>
      </c>
      <c r="HX46" s="31"/>
      <c r="HY46" s="31" t="s">
        <v>443</v>
      </c>
      <c r="HZ46" s="31" t="s">
        <v>93</v>
      </c>
      <c r="IA46" s="97" t="str">
        <f>IF(ISBLANK(fixtures!$K351),"",fixtures!$K351)</f>
        <v/>
      </c>
      <c r="IB46" s="31" t="str">
        <f>IF(ISBLANK(fixtures!$L351),"",":")</f>
        <v/>
      </c>
      <c r="IC46" s="99" t="str">
        <f>IF(ISBLANK(fixtures!$L351),"",fixtures!$L351)</f>
        <v/>
      </c>
      <c r="ID46" s="31" t="str">
        <f>IF(ISBLANK(fixtures!$L351),"",IF(IA46&gt;IC46,"W",IF(IA46=IC46,"D","L")))</f>
        <v/>
      </c>
      <c r="IE46" s="31"/>
      <c r="IF46" s="31"/>
    </row>
    <row r="47" spans="1:252">
      <c r="A47" s="66">
        <v>9</v>
      </c>
      <c r="B47" s="68" t="s">
        <v>218</v>
      </c>
      <c r="C47" s="214">
        <f ca="1">IFERROR(INDIRECT("fixtures!" &amp; Dashboard!J1 &amp;361) - Dashboard!K1/24,"TBC")</f>
        <v>46151.625</v>
      </c>
      <c r="D47" s="6"/>
      <c r="E47" s="6" t="s">
        <v>14</v>
      </c>
      <c r="F47" s="6" t="s">
        <v>92</v>
      </c>
      <c r="G47" s="66" t="str">
        <f>IF(ISBLANK(fixtures!$L361),"",fixtures!$L361)</f>
        <v/>
      </c>
      <c r="H47" s="6" t="str">
        <f>IF(ISBLANK(fixtures!$L361),"",":")</f>
        <v/>
      </c>
      <c r="I47" s="68" t="str">
        <f>IF(ISBLANK(fixtures!$K361),"",fixtures!$K361)</f>
        <v/>
      </c>
      <c r="J47" s="6" t="str">
        <f>IF(ISBLANK(fixtures!$L361),"",IF(G47&gt;I47,"W",IF(G47=I47,"D","L")))</f>
        <v/>
      </c>
      <c r="K47" s="6"/>
      <c r="L47" s="6"/>
      <c r="M47" s="382">
        <v>9</v>
      </c>
      <c r="N47" s="383" t="s">
        <v>218</v>
      </c>
      <c r="O47" s="384">
        <f ca="1">IFERROR(INDIRECT("fixtures!" &amp; Dashboard!J1 &amp;353) - Dashboard!K1/24,"TBC")</f>
        <v>46151.625</v>
      </c>
      <c r="P47" s="380"/>
      <c r="Q47" s="380" t="s">
        <v>5</v>
      </c>
      <c r="R47" s="380" t="s">
        <v>92</v>
      </c>
      <c r="S47" s="382" t="str">
        <f>IF(ISBLANK(fixtures!$L353),"",fixtures!$L353)</f>
        <v/>
      </c>
      <c r="T47" s="380" t="str">
        <f>IF(ISBLANK(fixtures!$L353),"",":")</f>
        <v/>
      </c>
      <c r="U47" s="383" t="str">
        <f>IF(ISBLANK(fixtures!$K353),"",fixtures!$K353)</f>
        <v/>
      </c>
      <c r="V47" s="380" t="str">
        <f>IF(ISBLANK(fixtures!$L353),"",IF(S47&gt;U47,"W",IF(S47=U47,"D","L")))</f>
        <v/>
      </c>
      <c r="W47" s="380"/>
      <c r="X47" s="380"/>
      <c r="Y47" s="418">
        <v>9</v>
      </c>
      <c r="Z47" s="419" t="s">
        <v>218</v>
      </c>
      <c r="AA47" s="420">
        <f ca="1">IFERROR(INDIRECT("fixtures!" &amp; Dashboard!J1 &amp;355) - Dashboard!K1/24,"TBC")</f>
        <v>46151.625</v>
      </c>
      <c r="AB47" s="412"/>
      <c r="AC47" s="412" t="s">
        <v>108</v>
      </c>
      <c r="AD47" s="412" t="s">
        <v>92</v>
      </c>
      <c r="AE47" s="418" t="str">
        <f>IF(ISBLANK(fixtures!$L355),"",fixtures!$L355)</f>
        <v/>
      </c>
      <c r="AF47" s="412" t="str">
        <f>IF(ISBLANK(fixtures!$L355),"",":")</f>
        <v/>
      </c>
      <c r="AG47" s="419" t="str">
        <f>IF(ISBLANK(fixtures!$K355),"",fixtures!$K355)</f>
        <v/>
      </c>
      <c r="AH47" s="412" t="str">
        <f>IF(ISBLANK(fixtures!$L355),"",IF(AE47&gt;AG47,"W",IF(AE47=AG47,"D","L")))</f>
        <v/>
      </c>
      <c r="AI47" s="412"/>
      <c r="AJ47" s="412"/>
      <c r="AK47" s="427">
        <v>9</v>
      </c>
      <c r="AL47" s="428" t="s">
        <v>218</v>
      </c>
      <c r="AM47" s="429">
        <f ca="1">IFERROR(INDIRECT("fixtures!" &amp; Dashboard!J1 &amp;357) - Dashboard!K1/24,"TBC")</f>
        <v>46151.625</v>
      </c>
      <c r="AN47" s="413"/>
      <c r="AO47" s="413" t="s">
        <v>10</v>
      </c>
      <c r="AP47" s="413" t="s">
        <v>92</v>
      </c>
      <c r="AQ47" s="427" t="str">
        <f>IF(ISBLANK(fixtures!$L357),"",fixtures!$L357)</f>
        <v/>
      </c>
      <c r="AR47" s="413" t="str">
        <f>IF(ISBLANK(fixtures!$L357),"",":")</f>
        <v/>
      </c>
      <c r="AS47" s="428" t="str">
        <f>IF(ISBLANK(fixtures!$K357),"",fixtures!$K357)</f>
        <v/>
      </c>
      <c r="AT47" s="413" t="str">
        <f>IF(ISBLANK(fixtures!$L357),"",IF(AQ47&gt;AS47,"W",IF(AQ47=AS47,"D","L")))</f>
        <v/>
      </c>
      <c r="AU47" s="413"/>
      <c r="AV47" s="413"/>
      <c r="AW47" s="71">
        <v>9</v>
      </c>
      <c r="AX47" s="73" t="s">
        <v>218</v>
      </c>
      <c r="AY47" s="219">
        <f ca="1">IFERROR(INDIRECT("fixtures!" &amp; Dashboard!J1 &amp;352) - Dashboard!K1/24,"TBC")</f>
        <v>46151.625</v>
      </c>
      <c r="AZ47" s="9"/>
      <c r="BA47" s="9" t="s">
        <v>15</v>
      </c>
      <c r="BB47" s="9" t="s">
        <v>93</v>
      </c>
      <c r="BC47" s="71" t="str">
        <f>IF(ISBLANK(fixtures!$K352),"",fixtures!$K352)</f>
        <v/>
      </c>
      <c r="BD47" s="9" t="str">
        <f>IF(ISBLANK(fixtures!$L352),"",":")</f>
        <v/>
      </c>
      <c r="BE47" s="73" t="str">
        <f>IF(ISBLANK(fixtures!$L352),"",fixtures!$L352)</f>
        <v/>
      </c>
      <c r="BF47" s="9" t="str">
        <f>IF(ISBLANK(fixtures!$L352),"",IF(BC47&gt;BE47,"W",IF(BC47=BE47,"D","L")))</f>
        <v/>
      </c>
      <c r="BG47" s="9"/>
      <c r="BH47" s="9"/>
      <c r="BI47" s="436">
        <v>9</v>
      </c>
      <c r="BJ47" s="437" t="s">
        <v>218</v>
      </c>
      <c r="BK47" s="438">
        <f ca="1">IFERROR(INDIRECT("fixtures!" &amp; Dashboard!J1 &amp;353) - Dashboard!K1/24,"TBC")</f>
        <v>46151.625</v>
      </c>
      <c r="BL47" s="414"/>
      <c r="BM47" s="414" t="s">
        <v>2</v>
      </c>
      <c r="BN47" s="414" t="s">
        <v>93</v>
      </c>
      <c r="BO47" s="436" t="str">
        <f>IF(ISBLANK(fixtures!$K353),"",fixtures!$K353)</f>
        <v/>
      </c>
      <c r="BP47" s="414" t="str">
        <f>IF(ISBLANK(fixtures!$L353),"",":")</f>
        <v/>
      </c>
      <c r="BQ47" s="437" t="str">
        <f>IF(ISBLANK(fixtures!$L353),"",fixtures!$L353)</f>
        <v/>
      </c>
      <c r="BR47" s="414" t="str">
        <f>IF(ISBLANK(fixtures!$L353),"",IF(BO47&gt;BQ47,"W",IF(BO47=BQ47,"D","L")))</f>
        <v/>
      </c>
      <c r="BS47" s="414"/>
      <c r="BT47" s="414"/>
      <c r="BU47" s="146">
        <v>9</v>
      </c>
      <c r="BV47" s="148" t="s">
        <v>218</v>
      </c>
      <c r="BW47" s="225">
        <f ca="1">IFERROR(INDIRECT("fixtures!" &amp; Dashboard!J1 &amp;356) - Dashboard!K1/24,"TBC")</f>
        <v>46151.625</v>
      </c>
      <c r="BX47" s="13"/>
      <c r="BY47" s="13" t="s">
        <v>9</v>
      </c>
      <c r="BZ47" s="13" t="s">
        <v>92</v>
      </c>
      <c r="CA47" s="146" t="str">
        <f>IF(ISBLANK(fixtures!$L356),"",fixtures!$L356)</f>
        <v/>
      </c>
      <c r="CB47" s="13" t="str">
        <f>IF(ISBLANK(fixtures!$L356),"",":")</f>
        <v/>
      </c>
      <c r="CC47" s="148" t="str">
        <f>IF(ISBLANK(fixtures!$K356),"",fixtures!$K356)</f>
        <v/>
      </c>
      <c r="CD47" s="13" t="str">
        <f>IF(ISBLANK(fixtures!$L356),"",IF(CA47&gt;CC47,"W",IF(CA47=CC47,"D","L")))</f>
        <v/>
      </c>
      <c r="CE47" s="13"/>
      <c r="CF47" s="13"/>
      <c r="CG47" s="394">
        <v>9</v>
      </c>
      <c r="CH47" s="395" t="s">
        <v>218</v>
      </c>
      <c r="CI47" s="396">
        <f ca="1">IFERROR(INDIRECT("fixtures!" &amp; Dashboard!J1 &amp;354) - Dashboard!K1/24,"TBC")</f>
        <v>46151.625</v>
      </c>
      <c r="CJ47" s="14"/>
      <c r="CK47" s="14" t="s">
        <v>8</v>
      </c>
      <c r="CL47" s="14" t="s">
        <v>93</v>
      </c>
      <c r="CM47" s="394" t="str">
        <f>IF(ISBLANK(fixtures!$K354),"",fixtures!$K354)</f>
        <v/>
      </c>
      <c r="CN47" s="14" t="str">
        <f>IF(ISBLANK(fixtures!$L354),"",":")</f>
        <v/>
      </c>
      <c r="CO47" s="395" t="str">
        <f>IF(ISBLANK(fixtures!$L354),"",fixtures!$L354)</f>
        <v/>
      </c>
      <c r="CP47" s="14" t="str">
        <f>IF(ISBLANK(fixtures!$L354),"",IF(CM47&gt;CO47,"W",IF(CM47=CO47,"D","L")))</f>
        <v/>
      </c>
      <c r="CQ47" s="14"/>
      <c r="CR47" s="14"/>
      <c r="CS47" s="231">
        <v>9</v>
      </c>
      <c r="CT47" s="232" t="s">
        <v>218</v>
      </c>
      <c r="CU47" s="233">
        <f ca="1">IFERROR(INDIRECT("fixtures!" &amp; Dashboard!J1 &amp;354) - Dashboard!K1/24,"TBC")</f>
        <v>46151.625</v>
      </c>
      <c r="CV47" s="17"/>
      <c r="CW47" s="17" t="s">
        <v>7</v>
      </c>
      <c r="CX47" s="17" t="s">
        <v>92</v>
      </c>
      <c r="CY47" s="231" t="str">
        <f>IF(ISBLANK(fixtures!$L354),"",fixtures!$L354)</f>
        <v/>
      </c>
      <c r="CZ47" s="17" t="str">
        <f>IF(ISBLANK(fixtures!$L354),"",":")</f>
        <v/>
      </c>
      <c r="DA47" s="232" t="str">
        <f>IF(ISBLANK(fixtures!$K354),"",fixtures!$K354)</f>
        <v/>
      </c>
      <c r="DB47" s="17" t="str">
        <f>IF(ISBLANK(fixtures!$L354),"",IF(CY47&gt;DA47,"W",IF(CY47=DA47,"D","L")))</f>
        <v/>
      </c>
      <c r="DC47" s="17"/>
      <c r="DD47" s="17"/>
      <c r="DE47" s="444">
        <v>9</v>
      </c>
      <c r="DF47" s="445" t="s">
        <v>218</v>
      </c>
      <c r="DG47" s="446">
        <f ca="1">IFERROR(INDIRECT("fixtures!" &amp; Dashboard!J1 &amp;355) - Dashboard!K1/24,"TBC")</f>
        <v>46151.625</v>
      </c>
      <c r="DH47" s="143"/>
      <c r="DI47" s="143" t="s">
        <v>3</v>
      </c>
      <c r="DJ47" s="143" t="s">
        <v>93</v>
      </c>
      <c r="DK47" s="444" t="str">
        <f>IF(ISBLANK(fixtures!$K355),"",fixtures!$K355)</f>
        <v/>
      </c>
      <c r="DL47" s="143" t="str">
        <f>IF(ISBLANK(fixtures!$L355),"",":")</f>
        <v/>
      </c>
      <c r="DM47" s="445" t="str">
        <f>IF(ISBLANK(fixtures!$L355),"",fixtures!$L355)</f>
        <v/>
      </c>
      <c r="DN47" s="143" t="str">
        <f>IF(ISBLANK(fixtures!$L355),"",IF(DK47&gt;DM47,"W",IF(DK47=DM47,"D","L")))</f>
        <v/>
      </c>
      <c r="DO47" s="143"/>
      <c r="DP47" s="143"/>
      <c r="DQ47" s="382">
        <v>9</v>
      </c>
      <c r="DR47" s="383" t="s">
        <v>218</v>
      </c>
      <c r="DS47" s="384">
        <f ca="1">IFERROR(INDIRECT("fixtures!" &amp; Dashboard!J1 &amp;359) - Dashboard!K1/24,"TBC")</f>
        <v>46151.625</v>
      </c>
      <c r="DT47" s="380"/>
      <c r="DU47" s="380" t="s">
        <v>13</v>
      </c>
      <c r="DV47" s="380" t="s">
        <v>92</v>
      </c>
      <c r="DW47" s="382" t="str">
        <f>IF(ISBLANK(fixtures!$L359),"",fixtures!$L359)</f>
        <v/>
      </c>
      <c r="DX47" s="380" t="str">
        <f>IF(ISBLANK(fixtures!$L359),"",":")</f>
        <v/>
      </c>
      <c r="DY47" s="383" t="str">
        <f>IF(ISBLANK(fixtures!$K359),"",fixtures!$K359)</f>
        <v/>
      </c>
      <c r="DZ47" s="380" t="str">
        <f>IF(ISBLANK(fixtures!$L359),"",IF(DW47&gt;DY47,"W",IF(DW47=DY47,"D","L")))</f>
        <v/>
      </c>
      <c r="EA47" s="380"/>
      <c r="EB47" s="380"/>
      <c r="EC47" s="207">
        <v>9</v>
      </c>
      <c r="ED47" s="209" t="s">
        <v>218</v>
      </c>
      <c r="EE47" s="239">
        <f ca="1">IFERROR(INDIRECT("fixtures!" &amp; Dashboard!J1 &amp;356) - Dashboard!K1/24,"TBC")</f>
        <v>46151.625</v>
      </c>
      <c r="EF47" s="19"/>
      <c r="EG47" s="19" t="s">
        <v>6</v>
      </c>
      <c r="EH47" s="19" t="s">
        <v>93</v>
      </c>
      <c r="EI47" s="207" t="str">
        <f>IF(ISBLANK(fixtures!$K356),"",fixtures!$K356)</f>
        <v/>
      </c>
      <c r="EJ47" s="19" t="str">
        <f>IF(ISBLANK(fixtures!$L356),"",":")</f>
        <v/>
      </c>
      <c r="EK47" s="209" t="str">
        <f>IF(ISBLANK(fixtures!$L356),"",fixtures!$L356)</f>
        <v/>
      </c>
      <c r="EL47" s="19" t="str">
        <f>IF(ISBLANK(fixtures!$L356),"",IF(EI47&gt;EK47,"W",IF(EI47=EK47,"D","L")))</f>
        <v/>
      </c>
      <c r="EM47" s="19"/>
      <c r="EN47" s="19"/>
      <c r="EO47" s="80">
        <v>9</v>
      </c>
      <c r="EP47" s="82" t="s">
        <v>218</v>
      </c>
      <c r="EQ47" s="245">
        <f ca="1">IFERROR(INDIRECT("fixtures!" &amp; Dashboard!J1 &amp;357) - Dashboard!K1/24,"TBC")</f>
        <v>46151.625</v>
      </c>
      <c r="ER47" s="21"/>
      <c r="ES47" s="21" t="s">
        <v>107</v>
      </c>
      <c r="ET47" s="21" t="s">
        <v>93</v>
      </c>
      <c r="EU47" s="80" t="str">
        <f>IF(ISBLANK(fixtures!$K357),"",fixtures!$K357)</f>
        <v/>
      </c>
      <c r="EV47" s="21" t="str">
        <f>IF(ISBLANK(fixtures!$L357),"",":")</f>
        <v/>
      </c>
      <c r="EW47" s="82" t="str">
        <f>IF(ISBLANK(fixtures!$L357),"",fixtures!$L357)</f>
        <v/>
      </c>
      <c r="EX47" s="21" t="str">
        <f>IF(ISBLANK(fixtures!$L357),"",IF(EU47&gt;EW47,"W",IF(EU47=EW47,"D","L")))</f>
        <v/>
      </c>
      <c r="EY47" s="21"/>
      <c r="EZ47" s="21"/>
      <c r="FA47" s="251">
        <v>9</v>
      </c>
      <c r="FB47" s="252" t="s">
        <v>218</v>
      </c>
      <c r="FC47" s="253">
        <f ca="1">IFERROR(INDIRECT("fixtures!" &amp; Dashboard!J1 &amp;360) - Dashboard!K1/24,"TBC")</f>
        <v>46151.625</v>
      </c>
      <c r="FD47" s="23"/>
      <c r="FE47" s="23" t="s">
        <v>443</v>
      </c>
      <c r="FF47" s="23" t="s">
        <v>92</v>
      </c>
      <c r="FG47" s="251" t="str">
        <f>IF(ISBLANK(fixtures!$L360),"",fixtures!$L360)</f>
        <v/>
      </c>
      <c r="FH47" s="23" t="str">
        <f>IF(ISBLANK(fixtures!$L360),"",":")</f>
        <v/>
      </c>
      <c r="FI47" s="252" t="str">
        <f>IF(ISBLANK(fixtures!$K360),"",fixtures!$K360)</f>
        <v/>
      </c>
      <c r="FJ47" s="23" t="str">
        <f>IF(ISBLANK(fixtures!$L360),"",IF(FG47&gt;FI47,"W",IF(FG47=FI47,"D","L")))</f>
        <v/>
      </c>
      <c r="FK47" s="23"/>
      <c r="FL47" s="23"/>
      <c r="FM47" s="85">
        <v>9</v>
      </c>
      <c r="FN47" s="87" t="s">
        <v>218</v>
      </c>
      <c r="FO47" s="259">
        <f ca="1">IFERROR(INDIRECT("fixtures!" &amp; Dashboard!J1 &amp;358) - Dashboard!K1/24,"TBC")</f>
        <v>46151.625</v>
      </c>
      <c r="FP47" s="25"/>
      <c r="FQ47" s="25" t="s">
        <v>188</v>
      </c>
      <c r="FR47" s="25" t="s">
        <v>92</v>
      </c>
      <c r="FS47" s="85" t="str">
        <f>IF(ISBLANK(fixtures!$L358),"",fixtures!$L358)</f>
        <v/>
      </c>
      <c r="FT47" s="25" t="str">
        <f>IF(ISBLANK(fixtures!$L358),"",":")</f>
        <v/>
      </c>
      <c r="FU47" s="87" t="str">
        <f>IF(ISBLANK(fixtures!$K358),"",fixtures!$K358)</f>
        <v/>
      </c>
      <c r="FV47" s="25" t="str">
        <f>IF(ISBLANK(fixtures!$L358),"",IF(FS47&gt;FU47,"W",IF(FS47=FU47,"D","L")))</f>
        <v/>
      </c>
      <c r="FW47" s="25"/>
      <c r="FX47" s="25"/>
      <c r="FY47" s="402">
        <v>9</v>
      </c>
      <c r="FZ47" s="403" t="s">
        <v>218</v>
      </c>
      <c r="GA47" s="404">
        <f ca="1">IFERROR(INDIRECT("fixtures!" &amp; Dashboard!J1 &amp;358) - Dashboard!K1/24,"TBC")</f>
        <v>46151.625</v>
      </c>
      <c r="GB47" s="390"/>
      <c r="GC47" s="390" t="s">
        <v>12</v>
      </c>
      <c r="GD47" s="390" t="s">
        <v>93</v>
      </c>
      <c r="GE47" s="402" t="str">
        <f>IF(ISBLANK(fixtures!$K358),"",fixtures!$K358)</f>
        <v/>
      </c>
      <c r="GF47" s="390" t="str">
        <f>IF(ISBLANK(fixtures!$L358),"",":")</f>
        <v/>
      </c>
      <c r="GG47" s="403" t="str">
        <f>IF(ISBLANK(fixtures!$L358),"",fixtures!$L358)</f>
        <v/>
      </c>
      <c r="GH47" s="390" t="str">
        <f>IF(ISBLANK(fixtures!$L358),"",IF(GE47&gt;GG47,"W",IF(GE47=GG47,"D","L")))</f>
        <v/>
      </c>
      <c r="GI47" s="390"/>
      <c r="GJ47" s="390"/>
      <c r="GK47" s="89">
        <v>9</v>
      </c>
      <c r="GL47" s="90" t="s">
        <v>218</v>
      </c>
      <c r="GM47" s="266">
        <f ca="1">IFERROR(INDIRECT("fixtures!" &amp; Dashboard!J1 &amp;359) - Dashboard!K1/24,"TBC")</f>
        <v>46151.625</v>
      </c>
      <c r="GN47" s="27"/>
      <c r="GO47" s="27" t="s">
        <v>444</v>
      </c>
      <c r="GP47" s="27" t="s">
        <v>93</v>
      </c>
      <c r="GQ47" s="89" t="str">
        <f>IF(ISBLANK(fixtures!$K359),"",fixtures!$K359)</f>
        <v/>
      </c>
      <c r="GR47" s="27" t="str">
        <f>IF(ISBLANK(fixtures!$L359),"",":")</f>
        <v/>
      </c>
      <c r="GS47" s="90" t="str">
        <f>IF(ISBLANK(fixtures!$L359),"",fixtures!$L359)</f>
        <v/>
      </c>
      <c r="GT47" s="27" t="str">
        <f>IF(ISBLANK(fixtures!$L359),"",IF(GQ47&gt;GS47,"W",IF(GQ47=GS47,"D","L")))</f>
        <v/>
      </c>
      <c r="GU47" s="27"/>
      <c r="GV47" s="27"/>
      <c r="GW47" s="382">
        <v>9</v>
      </c>
      <c r="GX47" s="383" t="s">
        <v>218</v>
      </c>
      <c r="GY47" s="384">
        <f ca="1">IFERROR(INDIRECT("fixtures!" &amp; Dashboard!J1 &amp;360) - Dashboard!K1/24,"TBC")</f>
        <v>46151.625</v>
      </c>
      <c r="GZ47" s="380"/>
      <c r="HA47" s="380" t="s">
        <v>11</v>
      </c>
      <c r="HB47" s="380" t="s">
        <v>93</v>
      </c>
      <c r="HC47" s="382" t="str">
        <f>IF(ISBLANK(fixtures!$K360),"",fixtures!$K360)</f>
        <v/>
      </c>
      <c r="HD47" s="380" t="str">
        <f>IF(ISBLANK(fixtures!$L360),"",":")</f>
        <v/>
      </c>
      <c r="HE47" s="383" t="str">
        <f>IF(ISBLANK(fixtures!$L360),"",fixtures!$L360)</f>
        <v/>
      </c>
      <c r="HF47" s="380" t="str">
        <f>IF(ISBLANK(fixtures!$L360),"",IF(HC47&gt;HE47,"W",IF(HC47=HE47,"D","L")))</f>
        <v/>
      </c>
      <c r="HG47" s="380"/>
      <c r="HH47" s="380"/>
      <c r="HI47" s="92">
        <v>9</v>
      </c>
      <c r="HJ47" s="94" t="s">
        <v>218</v>
      </c>
      <c r="HK47" s="272">
        <f ca="1">IFERROR(INDIRECT("fixtures!" &amp; Dashboard!J1 &amp;361) - Dashboard!K1/24,"TBC")</f>
        <v>46151.625</v>
      </c>
      <c r="HL47" s="29"/>
      <c r="HM47" s="29" t="s">
        <v>1</v>
      </c>
      <c r="HN47" s="29" t="s">
        <v>93</v>
      </c>
      <c r="HO47" s="92" t="str">
        <f>IF(ISBLANK(fixtures!$K361),"",fixtures!$K361)</f>
        <v/>
      </c>
      <c r="HP47" s="29" t="str">
        <f>IF(ISBLANK(fixtures!$L361),"",":")</f>
        <v/>
      </c>
      <c r="HQ47" s="94" t="str">
        <f>IF(ISBLANK(fixtures!$L361),"",fixtures!$L361)</f>
        <v/>
      </c>
      <c r="HR47" s="29" t="str">
        <f>IF(ISBLANK(fixtures!$L361),"",IF(HO47&gt;HQ47,"W",IF(HO47=HQ47,"D","L")))</f>
        <v/>
      </c>
      <c r="HS47" s="29"/>
      <c r="HT47" s="29"/>
      <c r="HU47" s="97">
        <v>9</v>
      </c>
      <c r="HV47" s="99" t="s">
        <v>218</v>
      </c>
      <c r="HW47" s="278">
        <f ca="1">IFERROR(INDIRECT("fixtures!" &amp; Dashboard!J1 &amp;352) - Dashboard!K1/24,"TBC")</f>
        <v>46151.625</v>
      </c>
      <c r="HX47" s="31"/>
      <c r="HY47" s="31" t="s">
        <v>4</v>
      </c>
      <c r="HZ47" s="31" t="s">
        <v>92</v>
      </c>
      <c r="IA47" s="97" t="str">
        <f>IF(ISBLANK(fixtures!$L352),"",fixtures!$L352)</f>
        <v/>
      </c>
      <c r="IB47" s="31" t="str">
        <f>IF(ISBLANK(fixtures!$L352),"",":")</f>
        <v/>
      </c>
      <c r="IC47" s="99" t="str">
        <f>IF(ISBLANK(fixtures!$K352),"",fixtures!$K352)</f>
        <v/>
      </c>
      <c r="ID47" s="31" t="str">
        <f>IF(ISBLANK(fixtures!$L352),"",IF(IA47&gt;IC47,"W",IF(IA47=IC47,"D","L")))</f>
        <v/>
      </c>
      <c r="IE47" s="31"/>
      <c r="IF47" s="31"/>
    </row>
    <row r="48" spans="1:252">
      <c r="A48" s="66">
        <v>17</v>
      </c>
      <c r="B48" s="68" t="s">
        <v>436</v>
      </c>
      <c r="C48" s="214">
        <f ca="1">IFERROR(INDIRECT("fixtures!" &amp; Dashboard!J1 &amp;362) - Dashboard!K1/24,"TBC")</f>
        <v>46159.625</v>
      </c>
      <c r="D48" s="6"/>
      <c r="E48" s="6" t="s">
        <v>5</v>
      </c>
      <c r="F48" s="6" t="s">
        <v>93</v>
      </c>
      <c r="G48" s="66" t="str">
        <f>IF(ISBLANK(fixtures!$K362),"",fixtures!$K362)</f>
        <v/>
      </c>
      <c r="H48" s="6" t="str">
        <f>IF(ISBLANK(fixtures!$L362),"",":")</f>
        <v/>
      </c>
      <c r="I48" s="68" t="str">
        <f>IF(ISBLANK(fixtures!$L362),"",fixtures!$L362)</f>
        <v/>
      </c>
      <c r="J48" s="6" t="str">
        <f>IF(ISBLANK(fixtures!$L362),"",IF(G48&gt;I48,"W",IF(G48=I48,"D","L")))</f>
        <v/>
      </c>
      <c r="K48" s="6"/>
      <c r="L48" s="6"/>
      <c r="M48" s="382">
        <v>17</v>
      </c>
      <c r="N48" s="383" t="s">
        <v>436</v>
      </c>
      <c r="O48" s="384">
        <f ca="1">IFERROR(INDIRECT("fixtures!" &amp; Dashboard!J1 &amp;363) - Dashboard!K1/24,"TBC")</f>
        <v>46159.625</v>
      </c>
      <c r="P48" s="380"/>
      <c r="Q48" s="380" t="s">
        <v>9</v>
      </c>
      <c r="R48" s="380" t="s">
        <v>93</v>
      </c>
      <c r="S48" s="382" t="str">
        <f>IF(ISBLANK(fixtures!$K363),"",fixtures!$K363)</f>
        <v/>
      </c>
      <c r="T48" s="380" t="str">
        <f>IF(ISBLANK(fixtures!$L363),"",":")</f>
        <v/>
      </c>
      <c r="U48" s="383" t="str">
        <f>IF(ISBLANK(fixtures!$L363),"",fixtures!$L363)</f>
        <v/>
      </c>
      <c r="V48" s="380" t="str">
        <f>IF(ISBLANK(fixtures!$L363),"",IF(S48&gt;U48,"W",IF(S48=U48,"D","L")))</f>
        <v/>
      </c>
      <c r="W48" s="380"/>
      <c r="X48" s="380"/>
      <c r="Y48" s="418">
        <v>17</v>
      </c>
      <c r="Z48" s="419" t="s">
        <v>436</v>
      </c>
      <c r="AA48" s="420">
        <f ca="1">IFERROR(INDIRECT("fixtures!" &amp; Dashboard!J1 &amp;364) - Dashboard!K1/24,"TBC")</f>
        <v>46159.625</v>
      </c>
      <c r="AB48" s="412"/>
      <c r="AC48" s="412" t="s">
        <v>10</v>
      </c>
      <c r="AD48" s="412" t="s">
        <v>93</v>
      </c>
      <c r="AE48" s="418" t="str">
        <f>IF(ISBLANK(fixtures!$K364),"",fixtures!$K364)</f>
        <v/>
      </c>
      <c r="AF48" s="412" t="str">
        <f>IF(ISBLANK(fixtures!$L364),"",":")</f>
        <v/>
      </c>
      <c r="AG48" s="419" t="str">
        <f>IF(ISBLANK(fixtures!$L364),"",fixtures!$L364)</f>
        <v/>
      </c>
      <c r="AH48" s="412" t="str">
        <f>IF(ISBLANK(fixtures!$L364),"",IF(AE48&gt;AG48,"W",IF(AE48=AG48,"D","L")))</f>
        <v/>
      </c>
      <c r="AI48" s="412"/>
      <c r="AJ48" s="412"/>
      <c r="AK48" s="427">
        <v>17</v>
      </c>
      <c r="AL48" s="428" t="s">
        <v>436</v>
      </c>
      <c r="AM48" s="429">
        <f ca="1">IFERROR(INDIRECT("fixtures!" &amp; Dashboard!J1 &amp;365) - Dashboard!K1/24,"TBC")</f>
        <v>46159.625</v>
      </c>
      <c r="AN48" s="413"/>
      <c r="AO48" s="413" t="s">
        <v>7</v>
      </c>
      <c r="AP48" s="413" t="s">
        <v>93</v>
      </c>
      <c r="AQ48" s="427" t="str">
        <f>IF(ISBLANK(fixtures!$K365),"",fixtures!$K365)</f>
        <v/>
      </c>
      <c r="AR48" s="413" t="str">
        <f>IF(ISBLANK(fixtures!$L365),"",":")</f>
        <v/>
      </c>
      <c r="AS48" s="428" t="str">
        <f>IF(ISBLANK(fixtures!$L365),"",fixtures!$L365)</f>
        <v/>
      </c>
      <c r="AT48" s="413" t="str">
        <f>IF(ISBLANK(fixtures!$L365),"",IF(AQ48&gt;AS48,"W",IF(AQ48=AS48,"D","L")))</f>
        <v/>
      </c>
      <c r="AU48" s="413"/>
      <c r="AV48" s="413"/>
      <c r="AW48" s="71">
        <v>17</v>
      </c>
      <c r="AX48" s="73" t="s">
        <v>436</v>
      </c>
      <c r="AY48" s="219">
        <f ca="1">IFERROR(INDIRECT("fixtures!" &amp; Dashboard!J1 &amp;368) - Dashboard!K1/24,"TBC")</f>
        <v>46159.625</v>
      </c>
      <c r="AZ48" s="9"/>
      <c r="BA48" s="9" t="s">
        <v>444</v>
      </c>
      <c r="BB48" s="9" t="s">
        <v>92</v>
      </c>
      <c r="BC48" s="71" t="str">
        <f>IF(ISBLANK(fixtures!$L368),"",fixtures!$L368)</f>
        <v/>
      </c>
      <c r="BD48" s="9" t="str">
        <f>IF(ISBLANK(fixtures!$L368),"",":")</f>
        <v/>
      </c>
      <c r="BE48" s="73" t="str">
        <f>IF(ISBLANK(fixtures!$K368),"",fixtures!$K368)</f>
        <v/>
      </c>
      <c r="BF48" s="9" t="str">
        <f>IF(ISBLANK(fixtures!$L368),"",IF(BC48&gt;BE48,"W",IF(BC48=BE48,"D","L")))</f>
        <v/>
      </c>
      <c r="BG48" s="9"/>
      <c r="BH48" s="9"/>
      <c r="BI48" s="436">
        <v>17</v>
      </c>
      <c r="BJ48" s="437" t="s">
        <v>436</v>
      </c>
      <c r="BK48" s="438">
        <f ca="1">IFERROR(INDIRECT("fixtures!" &amp; Dashboard!J1 &amp;362) - Dashboard!K1/24,"TBC")</f>
        <v>46159.625</v>
      </c>
      <c r="BL48" s="414"/>
      <c r="BM48" s="414" t="s">
        <v>1</v>
      </c>
      <c r="BN48" s="414" t="s">
        <v>92</v>
      </c>
      <c r="BO48" s="436" t="str">
        <f>IF(ISBLANK(fixtures!$L362),"",fixtures!$L362)</f>
        <v/>
      </c>
      <c r="BP48" s="414" t="str">
        <f>IF(ISBLANK(fixtures!$L362),"",":")</f>
        <v/>
      </c>
      <c r="BQ48" s="437" t="str">
        <f>IF(ISBLANK(fixtures!$K362),"",fixtures!$K362)</f>
        <v/>
      </c>
      <c r="BR48" s="414" t="str">
        <f>IF(ISBLANK(fixtures!$L362),"",IF(BO48&gt;BQ48,"W",IF(BO48=BQ48,"D","L")))</f>
        <v/>
      </c>
      <c r="BS48" s="414"/>
      <c r="BT48" s="414"/>
      <c r="BU48" s="146">
        <v>17</v>
      </c>
      <c r="BV48" s="148" t="s">
        <v>436</v>
      </c>
      <c r="BW48" s="225">
        <f ca="1">IFERROR(INDIRECT("fixtures!" &amp; Dashboard!J1 &amp;366) - Dashboard!K1/24,"TBC")</f>
        <v>46159.625</v>
      </c>
      <c r="BX48" s="13"/>
      <c r="BY48" s="13" t="s">
        <v>13</v>
      </c>
      <c r="BZ48" s="13" t="s">
        <v>93</v>
      </c>
      <c r="CA48" s="146" t="str">
        <f>IF(ISBLANK(fixtures!$K366),"",fixtures!$K366)</f>
        <v/>
      </c>
      <c r="CB48" s="13" t="str">
        <f>IF(ISBLANK(fixtures!$L366),"",":")</f>
        <v/>
      </c>
      <c r="CC48" s="148" t="str">
        <f>IF(ISBLANK(fixtures!$L366),"",fixtures!$L366)</f>
        <v/>
      </c>
      <c r="CD48" s="13" t="str">
        <f>IF(ISBLANK(fixtures!$L366),"",IF(CA48&gt;CC48,"W",IF(CA48=CC48,"D","L")))</f>
        <v/>
      </c>
      <c r="CE48" s="13"/>
      <c r="CF48" s="13"/>
      <c r="CG48" s="394">
        <v>17</v>
      </c>
      <c r="CH48" s="395" t="s">
        <v>436</v>
      </c>
      <c r="CI48" s="396">
        <f ca="1">IFERROR(INDIRECT("fixtures!" &amp; Dashboard!J1 &amp;365) - Dashboard!K1/24,"TBC")</f>
        <v>46159.625</v>
      </c>
      <c r="CJ48" s="14"/>
      <c r="CK48" s="14" t="s">
        <v>107</v>
      </c>
      <c r="CL48" s="14" t="s">
        <v>92</v>
      </c>
      <c r="CM48" s="394" t="str">
        <f>IF(ISBLANK(fixtures!$L365),"",fixtures!$L365)</f>
        <v/>
      </c>
      <c r="CN48" s="14" t="str">
        <f>IF(ISBLANK(fixtures!$L365),"",":")</f>
        <v/>
      </c>
      <c r="CO48" s="395" t="str">
        <f>IF(ISBLANK(fixtures!$K365),"",fixtures!$K365)</f>
        <v/>
      </c>
      <c r="CP48" s="14" t="str">
        <f>IF(ISBLANK(fixtures!$L365),"",IF(CM48&gt;CO48,"W",IF(CM48=CO48,"D","L")))</f>
        <v/>
      </c>
      <c r="CQ48" s="14"/>
      <c r="CR48" s="14"/>
      <c r="CS48" s="231">
        <v>17</v>
      </c>
      <c r="CT48" s="232" t="s">
        <v>436</v>
      </c>
      <c r="CU48" s="233">
        <f ca="1">IFERROR(INDIRECT("fixtures!" &amp; Dashboard!J1 &amp;367) - Dashboard!K1/24,"TBC")</f>
        <v>46159.625</v>
      </c>
      <c r="CV48" s="17"/>
      <c r="CW48" s="17" t="s">
        <v>443</v>
      </c>
      <c r="CX48" s="17" t="s">
        <v>93</v>
      </c>
      <c r="CY48" s="231" t="str">
        <f>IF(ISBLANK(fixtures!$K367),"",fixtures!$K367)</f>
        <v/>
      </c>
      <c r="CZ48" s="17" t="str">
        <f>IF(ISBLANK(fixtures!$L367),"",":")</f>
        <v/>
      </c>
      <c r="DA48" s="232" t="str">
        <f>IF(ISBLANK(fixtures!$L367),"",fixtures!$L367)</f>
        <v/>
      </c>
      <c r="DB48" s="17" t="str">
        <f>IF(ISBLANK(fixtures!$L367),"",IF(CY48&gt;DA48,"W",IF(CY48=DA48,"D","L")))</f>
        <v/>
      </c>
      <c r="DC48" s="17"/>
      <c r="DD48" s="17"/>
      <c r="DE48" s="444">
        <v>17</v>
      </c>
      <c r="DF48" s="445" t="s">
        <v>436</v>
      </c>
      <c r="DG48" s="446">
        <f ca="1">IFERROR(INDIRECT("fixtures!" &amp; Dashboard!J1 &amp;371) - Dashboard!K1/24,"TBC")</f>
        <v>46159.625</v>
      </c>
      <c r="DH48" s="143"/>
      <c r="DI48" s="143" t="s">
        <v>15</v>
      </c>
      <c r="DJ48" s="143" t="s">
        <v>92</v>
      </c>
      <c r="DK48" s="444" t="str">
        <f>IF(ISBLANK(fixtures!$L371),"",fixtures!$L371)</f>
        <v/>
      </c>
      <c r="DL48" s="143" t="str">
        <f>IF(ISBLANK(fixtures!$L371),"",":")</f>
        <v/>
      </c>
      <c r="DM48" s="445" t="str">
        <f>IF(ISBLANK(fixtures!$K371),"",fixtures!$K371)</f>
        <v/>
      </c>
      <c r="DN48" s="143" t="str">
        <f>IF(ISBLANK(fixtures!$L371),"",IF(DK48&gt;DM48,"W",IF(DK48=DM48,"D","L")))</f>
        <v/>
      </c>
      <c r="DO48" s="143"/>
      <c r="DP48" s="143"/>
      <c r="DQ48" s="382">
        <v>17</v>
      </c>
      <c r="DR48" s="383" t="s">
        <v>436</v>
      </c>
      <c r="DS48" s="384">
        <f ca="1">IFERROR(INDIRECT("fixtures!" &amp; Dashboard!J1 &amp;368) - Dashboard!K1/24,"TBC")</f>
        <v>46159.625</v>
      </c>
      <c r="DT48" s="380"/>
      <c r="DU48" s="380" t="s">
        <v>4</v>
      </c>
      <c r="DV48" s="380" t="s">
        <v>93</v>
      </c>
      <c r="DW48" s="382" t="str">
        <f>IF(ISBLANK(fixtures!$K368),"",fixtures!$K368)</f>
        <v/>
      </c>
      <c r="DX48" s="380" t="str">
        <f>IF(ISBLANK(fixtures!$L368),"",":")</f>
        <v/>
      </c>
      <c r="DY48" s="383" t="str">
        <f>IF(ISBLANK(fixtures!$L368),"",fixtures!$L368)</f>
        <v/>
      </c>
      <c r="DZ48" s="380" t="str">
        <f>IF(ISBLANK(fixtures!$L368),"",IF(DW48&gt;DY48,"W",IF(DW48=DY48,"D","L")))</f>
        <v/>
      </c>
      <c r="EA48" s="380"/>
      <c r="EB48" s="380"/>
      <c r="EC48" s="207">
        <v>17</v>
      </c>
      <c r="ED48" s="209" t="s">
        <v>436</v>
      </c>
      <c r="EE48" s="239">
        <f ca="1">IFERROR(INDIRECT("fixtures!" &amp; Dashboard!J1 &amp;363) - Dashboard!K1/24,"TBC")</f>
        <v>46159.625</v>
      </c>
      <c r="EF48" s="19"/>
      <c r="EG48" s="19" t="s">
        <v>2</v>
      </c>
      <c r="EH48" s="19" t="s">
        <v>92</v>
      </c>
      <c r="EI48" s="207" t="str">
        <f>IF(ISBLANK(fixtures!$L363),"",fixtures!$L363)</f>
        <v/>
      </c>
      <c r="EJ48" s="19" t="str">
        <f>IF(ISBLANK(fixtures!$L363),"",":")</f>
        <v/>
      </c>
      <c r="EK48" s="209" t="str">
        <f>IF(ISBLANK(fixtures!$K363),"",fixtures!$K363)</f>
        <v/>
      </c>
      <c r="EL48" s="19" t="str">
        <f>IF(ISBLANK(fixtures!$L363),"",IF(EI48&gt;EK48,"W",IF(EI48=EK48,"D","L")))</f>
        <v/>
      </c>
      <c r="EM48" s="19"/>
      <c r="EN48" s="19"/>
      <c r="EO48" s="80">
        <v>17</v>
      </c>
      <c r="EP48" s="82" t="s">
        <v>436</v>
      </c>
      <c r="EQ48" s="245">
        <f ca="1">IFERROR(INDIRECT("fixtures!" &amp; Dashboard!J1 &amp;364) - Dashboard!K1/24,"TBC")</f>
        <v>46159.625</v>
      </c>
      <c r="ER48" s="21"/>
      <c r="ES48" s="21" t="s">
        <v>3</v>
      </c>
      <c r="ET48" s="21" t="s">
        <v>92</v>
      </c>
      <c r="EU48" s="80" t="str">
        <f>IF(ISBLANK(fixtures!$L364),"",fixtures!$L364)</f>
        <v/>
      </c>
      <c r="EV48" s="21" t="str">
        <f>IF(ISBLANK(fixtures!$L364),"",":")</f>
        <v/>
      </c>
      <c r="EW48" s="82" t="str">
        <f>IF(ISBLANK(fixtures!$K364),"",fixtures!$K364)</f>
        <v/>
      </c>
      <c r="EX48" s="21" t="str">
        <f>IF(ISBLANK(fixtures!$L364),"",IF(EU48&gt;EW48,"W",IF(EU48=EW48,"D","L")))</f>
        <v/>
      </c>
      <c r="EY48" s="21"/>
      <c r="EZ48" s="21"/>
      <c r="FA48" s="251">
        <v>17</v>
      </c>
      <c r="FB48" s="252" t="s">
        <v>436</v>
      </c>
      <c r="FC48" s="253">
        <f ca="1">IFERROR(INDIRECT("fixtures!" &amp; Dashboard!J1 &amp;369) - Dashboard!K1/24,"TBC")</f>
        <v>46159.625</v>
      </c>
      <c r="FD48" s="23"/>
      <c r="FE48" s="23" t="s">
        <v>188</v>
      </c>
      <c r="FF48" s="23" t="s">
        <v>93</v>
      </c>
      <c r="FG48" s="251" t="str">
        <f>IF(ISBLANK(fixtures!$K369),"",fixtures!$K369)</f>
        <v/>
      </c>
      <c r="FH48" s="23" t="str">
        <f>IF(ISBLANK(fixtures!$L369),"",":")</f>
        <v/>
      </c>
      <c r="FI48" s="252" t="str">
        <f>IF(ISBLANK(fixtures!$L369),"",fixtures!$L369)</f>
        <v/>
      </c>
      <c r="FJ48" s="23" t="str">
        <f>IF(ISBLANK(fixtures!$L369),"",IF(FG48&gt;FI48,"W",IF(FG48=FI48,"D","L")))</f>
        <v/>
      </c>
      <c r="FK48" s="23"/>
      <c r="FL48" s="23"/>
      <c r="FM48" s="85">
        <v>17</v>
      </c>
      <c r="FN48" s="87" t="s">
        <v>436</v>
      </c>
      <c r="FO48" s="259">
        <f ca="1">IFERROR(INDIRECT("fixtures!" &amp; Dashboard!J1 &amp;370) - Dashboard!K1/24,"TBC")</f>
        <v>46159.625</v>
      </c>
      <c r="FP48" s="25"/>
      <c r="FQ48" s="25" t="s">
        <v>14</v>
      </c>
      <c r="FR48" s="25" t="s">
        <v>93</v>
      </c>
      <c r="FS48" s="85" t="str">
        <f>IF(ISBLANK(fixtures!$K370),"",fixtures!$K370)</f>
        <v/>
      </c>
      <c r="FT48" s="25" t="str">
        <f>IF(ISBLANK(fixtures!$L370),"",":")</f>
        <v/>
      </c>
      <c r="FU48" s="87" t="str">
        <f>IF(ISBLANK(fixtures!$L370),"",fixtures!$L370)</f>
        <v/>
      </c>
      <c r="FV48" s="25" t="str">
        <f>IF(ISBLANK(fixtures!$L370),"",IF(FS48&gt;FU48,"W",IF(FS48=FU48,"D","L")))</f>
        <v/>
      </c>
      <c r="FW48" s="25"/>
      <c r="FX48" s="25"/>
      <c r="FY48" s="402">
        <v>17</v>
      </c>
      <c r="FZ48" s="403" t="s">
        <v>436</v>
      </c>
      <c r="GA48" s="404">
        <f ca="1">IFERROR(INDIRECT("fixtures!" &amp; Dashboard!J1 &amp;369) - Dashboard!K1/24,"TBC")</f>
        <v>46159.625</v>
      </c>
      <c r="GB48" s="390"/>
      <c r="GC48" s="390" t="s">
        <v>11</v>
      </c>
      <c r="GD48" s="390" t="s">
        <v>92</v>
      </c>
      <c r="GE48" s="402" t="str">
        <f>IF(ISBLANK(fixtures!$L369),"",fixtures!$L369)</f>
        <v/>
      </c>
      <c r="GF48" s="390" t="str">
        <f>IF(ISBLANK(fixtures!$L369),"",":")</f>
        <v/>
      </c>
      <c r="GG48" s="403" t="str">
        <f>IF(ISBLANK(fixtures!$K369),"",fixtures!$K369)</f>
        <v/>
      </c>
      <c r="GH48" s="390" t="str">
        <f>IF(ISBLANK(fixtures!$L369),"",IF(GE48&gt;GG48,"W",IF(GE48=GG48,"D","L")))</f>
        <v/>
      </c>
      <c r="GI48" s="390"/>
      <c r="GJ48" s="390"/>
      <c r="GK48" s="89">
        <v>17</v>
      </c>
      <c r="GL48" s="90" t="s">
        <v>436</v>
      </c>
      <c r="GM48" s="266">
        <f ca="1">IFERROR(INDIRECT("fixtures!" &amp; Dashboard!J1 &amp;366) - Dashboard!K1/24,"TBC")</f>
        <v>46159.625</v>
      </c>
      <c r="GN48" s="27"/>
      <c r="GO48" s="27" t="s">
        <v>6</v>
      </c>
      <c r="GP48" s="27" t="s">
        <v>92</v>
      </c>
      <c r="GQ48" s="89" t="str">
        <f>IF(ISBLANK(fixtures!$L366),"",fixtures!$L366)</f>
        <v/>
      </c>
      <c r="GR48" s="27" t="str">
        <f>IF(ISBLANK(fixtures!$L366),"",":")</f>
        <v/>
      </c>
      <c r="GS48" s="90" t="str">
        <f>IF(ISBLANK(fixtures!$K366),"",fixtures!$K366)</f>
        <v/>
      </c>
      <c r="GT48" s="27" t="str">
        <f>IF(ISBLANK(fixtures!$L366),"",IF(GQ48&gt;GS48,"W",IF(GQ48=GS48,"D","L")))</f>
        <v/>
      </c>
      <c r="GU48" s="27"/>
      <c r="GV48" s="27"/>
      <c r="GW48" s="382">
        <v>17</v>
      </c>
      <c r="GX48" s="383" t="s">
        <v>436</v>
      </c>
      <c r="GY48" s="384">
        <f ca="1">IFERROR(INDIRECT("fixtures!" &amp; Dashboard!J1 &amp;367) - Dashboard!K1/24,"TBC")</f>
        <v>46159.625</v>
      </c>
      <c r="GZ48" s="380"/>
      <c r="HA48" s="380" t="s">
        <v>8</v>
      </c>
      <c r="HB48" s="380" t="s">
        <v>92</v>
      </c>
      <c r="HC48" s="382" t="str">
        <f>IF(ISBLANK(fixtures!$L367),"",fixtures!$L367)</f>
        <v/>
      </c>
      <c r="HD48" s="380" t="str">
        <f>IF(ISBLANK(fixtures!$L367),"",":")</f>
        <v/>
      </c>
      <c r="HE48" s="383" t="str">
        <f>IF(ISBLANK(fixtures!$K367),"",fixtures!$K367)</f>
        <v/>
      </c>
      <c r="HF48" s="380" t="str">
        <f>IF(ISBLANK(fixtures!$L367),"",IF(HC48&gt;HE48,"W",IF(HC48=HE48,"D","L")))</f>
        <v/>
      </c>
      <c r="HG48" s="380"/>
      <c r="HH48" s="380"/>
      <c r="HI48" s="92">
        <v>17</v>
      </c>
      <c r="HJ48" s="94" t="s">
        <v>436</v>
      </c>
      <c r="HK48" s="272">
        <f ca="1">IFERROR(INDIRECT("fixtures!" &amp; Dashboard!J1 &amp;370) - Dashboard!K1/24,"TBC")</f>
        <v>46159.625</v>
      </c>
      <c r="HL48" s="29"/>
      <c r="HM48" s="29" t="s">
        <v>12</v>
      </c>
      <c r="HN48" s="29" t="s">
        <v>92</v>
      </c>
      <c r="HO48" s="92" t="str">
        <f>IF(ISBLANK(fixtures!$L370),"",fixtures!$L370)</f>
        <v/>
      </c>
      <c r="HP48" s="29" t="str">
        <f>IF(ISBLANK(fixtures!$L370),"",":")</f>
        <v/>
      </c>
      <c r="HQ48" s="94" t="str">
        <f>IF(ISBLANK(fixtures!$K370),"",fixtures!$K370)</f>
        <v/>
      </c>
      <c r="HR48" s="29" t="str">
        <f>IF(ISBLANK(fixtures!$L370),"",IF(HO48&gt;HQ48,"W",IF(HO48=HQ48,"D","L")))</f>
        <v/>
      </c>
      <c r="HS48" s="29"/>
      <c r="HT48" s="29"/>
      <c r="HU48" s="97">
        <v>17</v>
      </c>
      <c r="HV48" s="99" t="s">
        <v>436</v>
      </c>
      <c r="HW48" s="278">
        <f ca="1">IFERROR(INDIRECT("fixtures!" &amp; Dashboard!J1 &amp;371) - Dashboard!K1/24,"TBC")</f>
        <v>46159.625</v>
      </c>
      <c r="HX48" s="31"/>
      <c r="HY48" s="31" t="s">
        <v>108</v>
      </c>
      <c r="HZ48" s="31" t="s">
        <v>93</v>
      </c>
      <c r="IA48" s="97" t="str">
        <f>IF(ISBLANK(fixtures!$K371),"",fixtures!$K371)</f>
        <v/>
      </c>
      <c r="IB48" s="31" t="str">
        <f>IF(ISBLANK(fixtures!$L371),"",":")</f>
        <v/>
      </c>
      <c r="IC48" s="99" t="str">
        <f>IF(ISBLANK(fixtures!$L371),"",fixtures!$L371)</f>
        <v/>
      </c>
      <c r="ID48" s="31" t="str">
        <f>IF(ISBLANK(fixtures!$L371),"",IF(IA48&gt;IC48,"W",IF(IA48=IC48,"D","L")))</f>
        <v/>
      </c>
      <c r="IE48" s="31"/>
      <c r="IF48" s="31"/>
    </row>
    <row r="49" spans="1:240">
      <c r="A49" s="66">
        <v>24</v>
      </c>
      <c r="B49" s="68" t="s">
        <v>436</v>
      </c>
      <c r="C49" s="214">
        <f ca="1">IFERROR(INDIRECT("fixtures!" &amp; Dashboard!J1 &amp;374) - Dashboard!K1/24,"TBC")</f>
        <v>46166.666666666664</v>
      </c>
      <c r="D49" s="6"/>
      <c r="E49" s="6" t="s">
        <v>7</v>
      </c>
      <c r="F49" s="6" t="s">
        <v>92</v>
      </c>
      <c r="G49" s="66" t="str">
        <f>IF(ISBLANK(fixtures!$L374),"",fixtures!$L374)</f>
        <v/>
      </c>
      <c r="H49" s="6" t="str">
        <f>IF(ISBLANK(fixtures!$L374),"",":")</f>
        <v/>
      </c>
      <c r="I49" s="68" t="str">
        <f>IF(ISBLANK(fixtures!$K374),"",fixtures!$K374)</f>
        <v/>
      </c>
      <c r="J49" s="6" t="str">
        <f>IF(ISBLANK(fixtures!$L374),"",IF(G49&gt;I49,"W",IF(G49=I49,"D","L")))</f>
        <v/>
      </c>
      <c r="K49" s="6"/>
      <c r="L49" s="6"/>
      <c r="M49" s="382">
        <v>24</v>
      </c>
      <c r="N49" s="383" t="s">
        <v>436</v>
      </c>
      <c r="O49" s="384">
        <f ca="1">IFERROR(INDIRECT("fixtures!" &amp; Dashboard!J1 &amp;377) - Dashboard!K1/24,"TBC")</f>
        <v>46166.666666666664</v>
      </c>
      <c r="P49" s="380"/>
      <c r="Q49" s="380" t="s">
        <v>10</v>
      </c>
      <c r="R49" s="380" t="s">
        <v>92</v>
      </c>
      <c r="S49" s="382" t="str">
        <f>IF(ISBLANK(fixtures!$L377),"",fixtures!$L377)</f>
        <v/>
      </c>
      <c r="T49" s="380" t="str">
        <f>IF(ISBLANK(fixtures!$L377),"",":")</f>
        <v/>
      </c>
      <c r="U49" s="383" t="str">
        <f>IF(ISBLANK(fixtures!$K377),"",fixtures!$K377)</f>
        <v/>
      </c>
      <c r="V49" s="380" t="str">
        <f>IF(ISBLANK(fixtures!$L377),"",IF(S49&gt;U49,"W",IF(S49=U49,"D","L")))</f>
        <v/>
      </c>
      <c r="W49" s="380"/>
      <c r="X49" s="380"/>
      <c r="Y49" s="418">
        <v>24</v>
      </c>
      <c r="Z49" s="419" t="s">
        <v>436</v>
      </c>
      <c r="AA49" s="420">
        <f ca="1">IFERROR(INDIRECT("fixtures!" &amp; Dashboard!J1 &amp;378) - Dashboard!K1/24,"TBC")</f>
        <v>46166.666666666664</v>
      </c>
      <c r="AB49" s="412"/>
      <c r="AC49" s="412" t="s">
        <v>188</v>
      </c>
      <c r="AD49" s="412" t="s">
        <v>92</v>
      </c>
      <c r="AE49" s="418" t="str">
        <f>IF(ISBLANK(fixtures!$L378),"",fixtures!$L378)</f>
        <v/>
      </c>
      <c r="AF49" s="412" t="str">
        <f>IF(ISBLANK(fixtures!$L378),"",":")</f>
        <v/>
      </c>
      <c r="AG49" s="419" t="str">
        <f>IF(ISBLANK(fixtures!$K378),"",fixtures!$K378)</f>
        <v/>
      </c>
      <c r="AH49" s="412" t="str">
        <f>IF(ISBLANK(fixtures!$L378),"",IF(AE49&gt;AG49,"W",IF(AE49=AG49,"D","L")))</f>
        <v/>
      </c>
      <c r="AI49" s="412"/>
      <c r="AJ49" s="412"/>
      <c r="AK49" s="427">
        <v>24</v>
      </c>
      <c r="AL49" s="428" t="s">
        <v>436</v>
      </c>
      <c r="AM49" s="429">
        <f ca="1">IFERROR(INDIRECT("fixtures!" &amp; Dashboard!J1 &amp;376) - Dashboard!K1/24,"TBC")</f>
        <v>46166.666666666664</v>
      </c>
      <c r="AN49" s="413"/>
      <c r="AO49" s="413" t="s">
        <v>9</v>
      </c>
      <c r="AP49" s="413" t="s">
        <v>92</v>
      </c>
      <c r="AQ49" s="427" t="str">
        <f>IF(ISBLANK(fixtures!$L376),"",fixtures!$L376)</f>
        <v/>
      </c>
      <c r="AR49" s="413" t="str">
        <f>IF(ISBLANK(fixtures!$L376),"",":")</f>
        <v/>
      </c>
      <c r="AS49" s="428" t="str">
        <f>IF(ISBLANK(fixtures!$K376),"",fixtures!$K376)</f>
        <v/>
      </c>
      <c r="AT49" s="413" t="str">
        <f>IF(ISBLANK(fixtures!$L376),"",IF(AQ49&gt;AS49,"W",IF(AQ49=AS49,"D","L")))</f>
        <v/>
      </c>
      <c r="AU49" s="413"/>
      <c r="AV49" s="413"/>
      <c r="AW49" s="71">
        <v>24</v>
      </c>
      <c r="AX49" s="73" t="s">
        <v>436</v>
      </c>
      <c r="AY49" s="219">
        <f ca="1">IFERROR(INDIRECT("fixtures!" &amp; Dashboard!J1 &amp;372) - Dashboard!K1/24,"TBC")</f>
        <v>46166.666666666664</v>
      </c>
      <c r="AZ49" s="9"/>
      <c r="BA49" s="9" t="s">
        <v>11</v>
      </c>
      <c r="BB49" s="9" t="s">
        <v>93</v>
      </c>
      <c r="BC49" s="71" t="str">
        <f>IF(ISBLANK(fixtures!$K372),"",fixtures!$K372)</f>
        <v/>
      </c>
      <c r="BD49" s="9" t="str">
        <f>IF(ISBLANK(fixtures!$L372),"",":")</f>
        <v/>
      </c>
      <c r="BE49" s="73" t="str">
        <f>IF(ISBLANK(fixtures!$L372),"",fixtures!$L372)</f>
        <v/>
      </c>
      <c r="BF49" s="9" t="str">
        <f>IF(ISBLANK(fixtures!$L372),"",IF(BC49&gt;BE49,"W",IF(BC49=BE49,"D","L")))</f>
        <v/>
      </c>
      <c r="BG49" s="9"/>
      <c r="BH49" s="9"/>
      <c r="BI49" s="436">
        <v>24</v>
      </c>
      <c r="BJ49" s="437" t="s">
        <v>436</v>
      </c>
      <c r="BK49" s="438">
        <f ca="1">IFERROR(INDIRECT("fixtures!" &amp; Dashboard!J1 &amp;373) - Dashboard!K1/24,"TBC")</f>
        <v>46166.666666666664</v>
      </c>
      <c r="BL49" s="414"/>
      <c r="BM49" s="414" t="s">
        <v>15</v>
      </c>
      <c r="BN49" s="414" t="s">
        <v>93</v>
      </c>
      <c r="BO49" s="436" t="str">
        <f>IF(ISBLANK(fixtures!$K373),"",fixtures!$K373)</f>
        <v/>
      </c>
      <c r="BP49" s="414" t="str">
        <f>IF(ISBLANK(fixtures!$L373),"",":")</f>
        <v/>
      </c>
      <c r="BQ49" s="437" t="str">
        <f>IF(ISBLANK(fixtures!$L373),"",fixtures!$L373)</f>
        <v/>
      </c>
      <c r="BR49" s="414" t="str">
        <f>IF(ISBLANK(fixtures!$L373),"",IF(BO49&gt;BQ49,"W",IF(BO49=BQ49,"D","L")))</f>
        <v/>
      </c>
      <c r="BS49" s="414"/>
      <c r="BT49" s="414"/>
      <c r="BU49" s="146">
        <v>24</v>
      </c>
      <c r="BV49" s="148" t="s">
        <v>436</v>
      </c>
      <c r="BW49" s="225">
        <f ca="1">IFERROR(INDIRECT("fixtures!" &amp; Dashboard!J1 &amp;380) - Dashboard!K1/24,"TBC")</f>
        <v>46166.666666666664</v>
      </c>
      <c r="BX49" s="13"/>
      <c r="BY49" s="13" t="s">
        <v>443</v>
      </c>
      <c r="BZ49" s="13" t="s">
        <v>92</v>
      </c>
      <c r="CA49" s="146" t="str">
        <f>IF(ISBLANK(fixtures!$L380),"",fixtures!$L380)</f>
        <v/>
      </c>
      <c r="CB49" s="13" t="str">
        <f>IF(ISBLANK(fixtures!$L380),"",":")</f>
        <v/>
      </c>
      <c r="CC49" s="148" t="str">
        <f>IF(ISBLANK(fixtures!$K380),"",fixtures!$K380)</f>
        <v/>
      </c>
      <c r="CD49" s="13" t="str">
        <f>IF(ISBLANK(fixtures!$L380),"",IF(CA49&gt;CC49,"W",IF(CA49=CC49,"D","L")))</f>
        <v/>
      </c>
      <c r="CE49" s="13"/>
      <c r="CF49" s="13"/>
      <c r="CG49" s="394">
        <v>24</v>
      </c>
      <c r="CH49" s="395" t="s">
        <v>436</v>
      </c>
      <c r="CI49" s="396">
        <f ca="1">IFERROR(INDIRECT("fixtures!" &amp; Dashboard!J1 &amp;374) - Dashboard!K1/24,"TBC")</f>
        <v>46166.666666666664</v>
      </c>
      <c r="CJ49" s="14"/>
      <c r="CK49" s="14" t="s">
        <v>1</v>
      </c>
      <c r="CL49" s="14" t="s">
        <v>93</v>
      </c>
      <c r="CM49" s="394" t="str">
        <f>IF(ISBLANK(fixtures!$K374),"",fixtures!$K374)</f>
        <v/>
      </c>
      <c r="CN49" s="14" t="str">
        <f>IF(ISBLANK(fixtures!$L374),"",":")</f>
        <v/>
      </c>
      <c r="CO49" s="395" t="str">
        <f>IF(ISBLANK(fixtures!$L374),"",fixtures!$L374)</f>
        <v/>
      </c>
      <c r="CP49" s="14" t="str">
        <f>IF(ISBLANK(fixtures!$L374),"",IF(CM49&gt;CO49,"W",IF(CM49=CO49,"D","L")))</f>
        <v/>
      </c>
      <c r="CQ49" s="14"/>
      <c r="CR49" s="14"/>
      <c r="CS49" s="231">
        <v>24</v>
      </c>
      <c r="CT49" s="232" t="s">
        <v>436</v>
      </c>
      <c r="CU49" s="233">
        <f ca="1">IFERROR(INDIRECT("fixtures!" &amp; Dashboard!J1 &amp;379) - Dashboard!K1/24,"TBC")</f>
        <v>46166.666666666664</v>
      </c>
      <c r="CV49" s="17"/>
      <c r="CW49" s="17" t="s">
        <v>13</v>
      </c>
      <c r="CX49" s="17" t="s">
        <v>92</v>
      </c>
      <c r="CY49" s="231" t="str">
        <f>IF(ISBLANK(fixtures!$L379),"",fixtures!$L379)</f>
        <v/>
      </c>
      <c r="CZ49" s="17" t="str">
        <f>IF(ISBLANK(fixtures!$L379),"",":")</f>
        <v/>
      </c>
      <c r="DA49" s="232" t="str">
        <f>IF(ISBLANK(fixtures!$K379),"",fixtures!$K379)</f>
        <v/>
      </c>
      <c r="DB49" s="17" t="str">
        <f>IF(ISBLANK(fixtures!$L379),"",IF(CY49&gt;DA49,"W",IF(CY49=DA49,"D","L")))</f>
        <v/>
      </c>
      <c r="DC49" s="17"/>
      <c r="DD49" s="17"/>
      <c r="DE49" s="444">
        <v>24</v>
      </c>
      <c r="DF49" s="445" t="s">
        <v>436</v>
      </c>
      <c r="DG49" s="446">
        <f ca="1">IFERROR(INDIRECT("fixtures!" &amp; Dashboard!J1 &amp;375) - Dashboard!K1/24,"TBC")</f>
        <v>46166.666666666664</v>
      </c>
      <c r="DH49" s="143"/>
      <c r="DI49" s="143" t="s">
        <v>12</v>
      </c>
      <c r="DJ49" s="143" t="s">
        <v>93</v>
      </c>
      <c r="DK49" s="444" t="str">
        <f>IF(ISBLANK(fixtures!$K375),"",fixtures!$K375)</f>
        <v/>
      </c>
      <c r="DL49" s="143" t="str">
        <f>IF(ISBLANK(fixtures!$L375),"",":")</f>
        <v/>
      </c>
      <c r="DM49" s="445" t="str">
        <f>IF(ISBLANK(fixtures!$L375),"",fixtures!$L375)</f>
        <v/>
      </c>
      <c r="DN49" s="143" t="str">
        <f>IF(ISBLANK(fixtures!$L375),"",IF(DK49&gt;DM49,"W",IF(DK49=DM49,"D","L")))</f>
        <v/>
      </c>
      <c r="DO49" s="143"/>
      <c r="DP49" s="143"/>
      <c r="DQ49" s="382">
        <v>24</v>
      </c>
      <c r="DR49" s="383" t="s">
        <v>436</v>
      </c>
      <c r="DS49" s="384">
        <f ca="1">IFERROR(INDIRECT("fixtures!" &amp; Dashboard!J1 &amp;381) - Dashboard!K1/24,"TBC")</f>
        <v>46166.666666666664</v>
      </c>
      <c r="DT49" s="380"/>
      <c r="DU49" s="380" t="s">
        <v>14</v>
      </c>
      <c r="DV49" s="380" t="s">
        <v>92</v>
      </c>
      <c r="DW49" s="382" t="str">
        <f>IF(ISBLANK(fixtures!$L381),"",fixtures!$L381)</f>
        <v/>
      </c>
      <c r="DX49" s="380" t="str">
        <f>IF(ISBLANK(fixtures!$L381),"",":")</f>
        <v/>
      </c>
      <c r="DY49" s="383" t="str">
        <f>IF(ISBLANK(fixtures!$K381),"",fixtures!$K381)</f>
        <v/>
      </c>
      <c r="DZ49" s="380" t="str">
        <f>IF(ISBLANK(fixtures!$L381),"",IF(DW49&gt;DY49,"W",IF(DW49=DY49,"D","L")))</f>
        <v/>
      </c>
      <c r="EA49" s="380"/>
      <c r="EB49" s="380"/>
      <c r="EC49" s="207">
        <v>24</v>
      </c>
      <c r="ED49" s="209" t="s">
        <v>436</v>
      </c>
      <c r="EE49" s="239">
        <f ca="1">IFERROR(INDIRECT("fixtures!" &amp; Dashboard!J1 &amp;376) - Dashboard!K1/24,"TBC")</f>
        <v>46166.666666666664</v>
      </c>
      <c r="EF49" s="19"/>
      <c r="EG49" s="19" t="s">
        <v>107</v>
      </c>
      <c r="EH49" s="19" t="s">
        <v>93</v>
      </c>
      <c r="EI49" s="207" t="str">
        <f>IF(ISBLANK(fixtures!$K376),"",fixtures!$K376)</f>
        <v/>
      </c>
      <c r="EJ49" s="19" t="str">
        <f>IF(ISBLANK(fixtures!$L376),"",":")</f>
        <v/>
      </c>
      <c r="EK49" s="209" t="str">
        <f>IF(ISBLANK(fixtures!$L376),"",fixtures!$L376)</f>
        <v/>
      </c>
      <c r="EL49" s="19" t="str">
        <f>IF(ISBLANK(fixtures!$L376),"",IF(EI49&gt;EK49,"W",IF(EI49=EK49,"D","L")))</f>
        <v/>
      </c>
      <c r="EM49" s="19"/>
      <c r="EN49" s="19"/>
      <c r="EO49" s="80">
        <v>24</v>
      </c>
      <c r="EP49" s="82" t="s">
        <v>436</v>
      </c>
      <c r="EQ49" s="245">
        <f ca="1">IFERROR(INDIRECT("fixtures!" &amp; Dashboard!J1 &amp;377) - Dashboard!K1/24,"TBC")</f>
        <v>46166.666666666664</v>
      </c>
      <c r="ER49" s="21"/>
      <c r="ES49" s="21" t="s">
        <v>2</v>
      </c>
      <c r="ET49" s="21" t="s">
        <v>93</v>
      </c>
      <c r="EU49" s="80" t="str">
        <f>IF(ISBLANK(fixtures!$K377),"",fixtures!$K377)</f>
        <v/>
      </c>
      <c r="EV49" s="21" t="str">
        <f>IF(ISBLANK(fixtures!$L377),"",":")</f>
        <v/>
      </c>
      <c r="EW49" s="82" t="str">
        <f>IF(ISBLANK(fixtures!$L377),"",fixtures!$L377)</f>
        <v/>
      </c>
      <c r="EX49" s="21" t="str">
        <f>IF(ISBLANK(fixtures!$L377),"",IF(EU49&gt;EW49,"W",IF(EU49=EW49,"D","L")))</f>
        <v/>
      </c>
      <c r="EY49" s="21"/>
      <c r="EZ49" s="21"/>
      <c r="FA49" s="251">
        <v>24</v>
      </c>
      <c r="FB49" s="252" t="s">
        <v>436</v>
      </c>
      <c r="FC49" s="253">
        <f ca="1">IFERROR(INDIRECT("fixtures!" &amp; Dashboard!J1 &amp;372) - Dashboard!K1/24,"TBC")</f>
        <v>46166.666666666664</v>
      </c>
      <c r="FD49" s="23"/>
      <c r="FE49" s="23" t="s">
        <v>4</v>
      </c>
      <c r="FF49" s="23" t="s">
        <v>92</v>
      </c>
      <c r="FG49" s="251" t="str">
        <f>IF(ISBLANK(fixtures!$L372),"",fixtures!$L372)</f>
        <v/>
      </c>
      <c r="FH49" s="23" t="str">
        <f>IF(ISBLANK(fixtures!$L372),"",":")</f>
        <v/>
      </c>
      <c r="FI49" s="252" t="str">
        <f>IF(ISBLANK(fixtures!$K372),"",fixtures!$K372)</f>
        <v/>
      </c>
      <c r="FJ49" s="23" t="str">
        <f>IF(ISBLANK(fixtures!$L372),"",IF(FG49&gt;FI49,"W",IF(FG49=FI49,"D","L")))</f>
        <v/>
      </c>
      <c r="FK49" s="23"/>
      <c r="FL49" s="23"/>
      <c r="FM49" s="85">
        <v>24</v>
      </c>
      <c r="FN49" s="87" t="s">
        <v>436</v>
      </c>
      <c r="FO49" s="259">
        <f ca="1">IFERROR(INDIRECT("fixtures!" &amp; Dashboard!J1 &amp;375) - Dashboard!K1/24,"TBC")</f>
        <v>46166.666666666664</v>
      </c>
      <c r="FP49" s="25"/>
      <c r="FQ49" s="25" t="s">
        <v>108</v>
      </c>
      <c r="FR49" s="25" t="s">
        <v>92</v>
      </c>
      <c r="FS49" s="85" t="str">
        <f>IF(ISBLANK(fixtures!$L375),"",fixtures!$L375)</f>
        <v/>
      </c>
      <c r="FT49" s="25" t="str">
        <f>IF(ISBLANK(fixtures!$L375),"",":")</f>
        <v/>
      </c>
      <c r="FU49" s="87" t="str">
        <f>IF(ISBLANK(fixtures!$K375),"",fixtures!$K375)</f>
        <v/>
      </c>
      <c r="FV49" s="25" t="str">
        <f>IF(ISBLANK(fixtures!$L375),"",IF(FS49&gt;FU49,"W",IF(FS49=FU49,"D","L")))</f>
        <v/>
      </c>
      <c r="FW49" s="25"/>
      <c r="FX49" s="25"/>
      <c r="FY49" s="402">
        <v>24</v>
      </c>
      <c r="FZ49" s="403" t="s">
        <v>436</v>
      </c>
      <c r="GA49" s="404">
        <f ca="1">IFERROR(INDIRECT("fixtures!" &amp; Dashboard!J1 &amp;378) - Dashboard!K1/24,"TBC")</f>
        <v>46166.666666666664</v>
      </c>
      <c r="GB49" s="390"/>
      <c r="GC49" s="390" t="s">
        <v>3</v>
      </c>
      <c r="GD49" s="390" t="s">
        <v>93</v>
      </c>
      <c r="GE49" s="402" t="str">
        <f>IF(ISBLANK(fixtures!$K378),"",fixtures!$K378)</f>
        <v/>
      </c>
      <c r="GF49" s="390" t="str">
        <f>IF(ISBLANK(fixtures!$L378),"",":")</f>
        <v/>
      </c>
      <c r="GG49" s="403" t="str">
        <f>IF(ISBLANK(fixtures!$L378),"",fixtures!$L378)</f>
        <v/>
      </c>
      <c r="GH49" s="390" t="str">
        <f>IF(ISBLANK(fixtures!$L378),"",IF(GE49&gt;GG49,"W",IF(GE49=GG49,"D","L")))</f>
        <v/>
      </c>
      <c r="GI49" s="390"/>
      <c r="GJ49" s="390"/>
      <c r="GK49" s="89">
        <v>24</v>
      </c>
      <c r="GL49" s="90" t="s">
        <v>436</v>
      </c>
      <c r="GM49" s="266">
        <f ca="1">IFERROR(INDIRECT("fixtures!" &amp; Dashboard!J1 &amp;379) - Dashboard!K1/24,"TBC")</f>
        <v>46166.666666666664</v>
      </c>
      <c r="GN49" s="27"/>
      <c r="GO49" s="27" t="s">
        <v>8</v>
      </c>
      <c r="GP49" s="27" t="s">
        <v>93</v>
      </c>
      <c r="GQ49" s="89" t="str">
        <f>IF(ISBLANK(fixtures!$K379),"",fixtures!$K379)</f>
        <v/>
      </c>
      <c r="GR49" s="27" t="str">
        <f>IF(ISBLANK(fixtures!$L379),"",":")</f>
        <v/>
      </c>
      <c r="GS49" s="90" t="str">
        <f>IF(ISBLANK(fixtures!$L379),"",fixtures!$L379)</f>
        <v/>
      </c>
      <c r="GT49" s="27" t="str">
        <f>IF(ISBLANK(fixtures!$L379),"",IF(GQ49&gt;GS49,"W",IF(GQ49=GS49,"D","L")))</f>
        <v/>
      </c>
      <c r="GU49" s="27"/>
      <c r="GV49" s="27"/>
      <c r="GW49" s="382">
        <v>24</v>
      </c>
      <c r="GX49" s="383" t="s">
        <v>436</v>
      </c>
      <c r="GY49" s="384">
        <f ca="1">IFERROR(INDIRECT("fixtures!" &amp; Dashboard!J1 &amp;380) - Dashboard!K1/24,"TBC")</f>
        <v>46166.666666666664</v>
      </c>
      <c r="GZ49" s="380"/>
      <c r="HA49" s="380" t="s">
        <v>6</v>
      </c>
      <c r="HB49" s="380" t="s">
        <v>93</v>
      </c>
      <c r="HC49" s="382" t="str">
        <f>IF(ISBLANK(fixtures!$K380),"",fixtures!$K380)</f>
        <v/>
      </c>
      <c r="HD49" s="380" t="str">
        <f>IF(ISBLANK(fixtures!$L380),"",":")</f>
        <v/>
      </c>
      <c r="HE49" s="383" t="str">
        <f>IF(ISBLANK(fixtures!$L380),"",fixtures!$L380)</f>
        <v/>
      </c>
      <c r="HF49" s="380" t="str">
        <f>IF(ISBLANK(fixtures!$L380),"",IF(HC49&gt;HE49,"W",IF(HC49=HE49,"D","L")))</f>
        <v/>
      </c>
      <c r="HG49" s="380"/>
      <c r="HH49" s="380"/>
      <c r="HI49" s="92">
        <v>24</v>
      </c>
      <c r="HJ49" s="94" t="s">
        <v>436</v>
      </c>
      <c r="HK49" s="272">
        <f ca="1">IFERROR(INDIRECT("fixtures!" &amp; Dashboard!J1 &amp;381) - Dashboard!K1/24,"TBC")</f>
        <v>46166.666666666664</v>
      </c>
      <c r="HL49" s="29"/>
      <c r="HM49" s="29" t="s">
        <v>444</v>
      </c>
      <c r="HN49" s="29" t="s">
        <v>93</v>
      </c>
      <c r="HO49" s="92" t="str">
        <f>IF(ISBLANK(fixtures!$K381),"",fixtures!$K381)</f>
        <v/>
      </c>
      <c r="HP49" s="29" t="str">
        <f>IF(ISBLANK(fixtures!$L381),"",":")</f>
        <v/>
      </c>
      <c r="HQ49" s="94" t="str">
        <f>IF(ISBLANK(fixtures!$L381),"",fixtures!$L381)</f>
        <v/>
      </c>
      <c r="HR49" s="29" t="str">
        <f>IF(ISBLANK(fixtures!$L381),"",IF(HO49&gt;HQ49,"W",IF(HO49=HQ49,"D","L")))</f>
        <v/>
      </c>
      <c r="HS49" s="29"/>
      <c r="HT49" s="29"/>
      <c r="HU49" s="97">
        <v>24</v>
      </c>
      <c r="HV49" s="99" t="s">
        <v>436</v>
      </c>
      <c r="HW49" s="278">
        <f ca="1">IFERROR(INDIRECT("fixtures!" &amp; Dashboard!J1 &amp;373) - Dashboard!K1/24,"TBC")</f>
        <v>46166.666666666664</v>
      </c>
      <c r="HX49" s="31"/>
      <c r="HY49" s="31" t="s">
        <v>5</v>
      </c>
      <c r="HZ49" s="31" t="s">
        <v>92</v>
      </c>
      <c r="IA49" s="97" t="str">
        <f>IF(ISBLANK(fixtures!$L373),"",fixtures!$L373)</f>
        <v/>
      </c>
      <c r="IB49" s="31" t="str">
        <f>IF(ISBLANK(fixtures!$L373),"",":")</f>
        <v/>
      </c>
      <c r="IC49" s="99" t="str">
        <f>IF(ISBLANK(fixtures!$K373),"",fixtures!$K373)</f>
        <v/>
      </c>
      <c r="ID49" s="31" t="str">
        <f>IF(ISBLANK(fixtures!$L373),"",IF(IA49&gt;IC49,"W",IF(IA49=IC49,"D","L")))</f>
        <v/>
      </c>
      <c r="IE49" s="31"/>
      <c r="IF49" s="31"/>
    </row>
    <row r="50" spans="1:240">
      <c r="A50" s="216"/>
      <c r="B50" s="68"/>
      <c r="C50" s="214"/>
      <c r="D50" s="6"/>
      <c r="E50" s="6"/>
      <c r="F50" s="6"/>
      <c r="G50" s="66"/>
      <c r="H50" s="6"/>
      <c r="I50" s="68"/>
      <c r="J50" s="6"/>
      <c r="K50" s="6"/>
      <c r="L50" s="6"/>
      <c r="M50" s="386"/>
      <c r="N50" s="383"/>
      <c r="O50" s="384"/>
      <c r="P50" s="380"/>
      <c r="Q50" s="380"/>
      <c r="R50" s="380"/>
      <c r="S50" s="382"/>
      <c r="T50" s="380"/>
      <c r="U50" s="383"/>
      <c r="V50" s="380"/>
      <c r="W50" s="380"/>
      <c r="X50" s="380"/>
      <c r="Y50" s="422"/>
      <c r="Z50" s="419"/>
      <c r="AA50" s="420"/>
      <c r="AB50" s="412"/>
      <c r="AC50" s="412"/>
      <c r="AD50" s="412"/>
      <c r="AE50" s="418"/>
      <c r="AF50" s="412"/>
      <c r="AG50" s="419"/>
      <c r="AH50" s="412"/>
      <c r="AI50" s="412"/>
      <c r="AJ50" s="412"/>
      <c r="AK50" s="431"/>
      <c r="AL50" s="428"/>
      <c r="AM50" s="429"/>
      <c r="AN50" s="413"/>
      <c r="AO50" s="413"/>
      <c r="AP50" s="413"/>
      <c r="AQ50" s="427"/>
      <c r="AR50" s="413"/>
      <c r="AS50" s="428"/>
      <c r="AT50" s="413"/>
      <c r="AU50" s="413"/>
      <c r="AV50" s="413"/>
      <c r="AW50" s="221"/>
      <c r="AX50" s="73"/>
      <c r="AY50" s="219"/>
      <c r="AZ50" s="9"/>
      <c r="BA50" s="9"/>
      <c r="BB50" s="9"/>
      <c r="BC50" s="71"/>
      <c r="BD50" s="9"/>
      <c r="BE50" s="73"/>
      <c r="BF50" s="9"/>
      <c r="BG50" s="9"/>
      <c r="BH50" s="9"/>
      <c r="BI50" s="440"/>
      <c r="BJ50" s="437"/>
      <c r="BK50" s="438"/>
      <c r="BL50" s="414"/>
      <c r="BM50" s="414"/>
      <c r="BN50" s="414"/>
      <c r="BO50" s="436"/>
      <c r="BP50" s="414"/>
      <c r="BQ50" s="437"/>
      <c r="BR50" s="414"/>
      <c r="BS50" s="414"/>
      <c r="BT50" s="414"/>
      <c r="BU50" s="227"/>
      <c r="BV50" s="148"/>
      <c r="BW50" s="225"/>
      <c r="BX50" s="13"/>
      <c r="BY50" s="13"/>
      <c r="BZ50" s="13"/>
      <c r="CA50" s="146"/>
      <c r="CB50" s="13"/>
      <c r="CC50" s="148"/>
      <c r="CD50" s="13"/>
      <c r="CE50" s="13"/>
      <c r="CF50" s="13"/>
      <c r="CG50" s="398"/>
      <c r="CH50" s="395"/>
      <c r="CI50" s="396"/>
      <c r="CJ50" s="14"/>
      <c r="CK50" s="14"/>
      <c r="CL50" s="14"/>
      <c r="CM50" s="394"/>
      <c r="CN50" s="14"/>
      <c r="CO50" s="395"/>
      <c r="CP50" s="14"/>
      <c r="CQ50" s="14"/>
      <c r="CR50" s="14"/>
      <c r="CS50" s="235"/>
      <c r="CT50" s="232"/>
      <c r="CU50" s="233"/>
      <c r="CV50" s="17"/>
      <c r="CW50" s="17"/>
      <c r="CX50" s="17"/>
      <c r="CY50" s="231"/>
      <c r="CZ50" s="17"/>
      <c r="DA50" s="232"/>
      <c r="DB50" s="17"/>
      <c r="DC50" s="17"/>
      <c r="DD50" s="17"/>
      <c r="DE50" s="448"/>
      <c r="DF50" s="445"/>
      <c r="DG50" s="446"/>
      <c r="DH50" s="143"/>
      <c r="DI50" s="143"/>
      <c r="DJ50" s="143"/>
      <c r="DK50" s="444"/>
      <c r="DL50" s="143"/>
      <c r="DM50" s="445"/>
      <c r="DN50" s="143"/>
      <c r="DO50" s="143"/>
      <c r="DP50" s="143"/>
      <c r="DQ50" s="386"/>
      <c r="DR50" s="383"/>
      <c r="DS50" s="384"/>
      <c r="DT50" s="380"/>
      <c r="DU50" s="380"/>
      <c r="DV50" s="380"/>
      <c r="DW50" s="382"/>
      <c r="DX50" s="380"/>
      <c r="DY50" s="383"/>
      <c r="DZ50" s="380"/>
      <c r="EA50" s="380"/>
      <c r="EB50" s="380"/>
      <c r="EC50" s="241"/>
      <c r="ED50" s="209"/>
      <c r="EE50" s="239"/>
      <c r="EF50" s="19"/>
      <c r="EG50" s="19"/>
      <c r="EH50" s="19"/>
      <c r="EI50" s="207"/>
      <c r="EJ50" s="19"/>
      <c r="EK50" s="209"/>
      <c r="EL50" s="19"/>
      <c r="EM50" s="19"/>
      <c r="EN50" s="19"/>
      <c r="EO50" s="247"/>
      <c r="EP50" s="82"/>
      <c r="EQ50" s="245"/>
      <c r="ER50" s="21"/>
      <c r="ES50" s="21"/>
      <c r="ET50" s="21"/>
      <c r="EU50" s="80"/>
      <c r="EV50" s="21"/>
      <c r="EW50" s="82"/>
      <c r="EX50" s="21"/>
      <c r="EY50" s="21"/>
      <c r="EZ50" s="21"/>
      <c r="FA50" s="255"/>
      <c r="FB50" s="252"/>
      <c r="FC50" s="253"/>
      <c r="FD50" s="23"/>
      <c r="FE50" s="23"/>
      <c r="FF50" s="23"/>
      <c r="FG50" s="251"/>
      <c r="FH50" s="23"/>
      <c r="FI50" s="252"/>
      <c r="FJ50" s="23"/>
      <c r="FK50" s="23"/>
      <c r="FL50" s="23"/>
      <c r="FM50" s="261"/>
      <c r="FN50" s="87"/>
      <c r="FO50" s="259"/>
      <c r="FP50" s="25"/>
      <c r="FQ50" s="25"/>
      <c r="FR50" s="25"/>
      <c r="FS50" s="85"/>
      <c r="FT50" s="25"/>
      <c r="FU50" s="87"/>
      <c r="FV50" s="25"/>
      <c r="FW50" s="25"/>
      <c r="FX50" s="25"/>
      <c r="FY50" s="406"/>
      <c r="FZ50" s="403"/>
      <c r="GA50" s="404"/>
      <c r="GB50" s="390"/>
      <c r="GC50" s="390"/>
      <c r="GD50" s="390"/>
      <c r="GE50" s="402"/>
      <c r="GF50" s="390"/>
      <c r="GG50" s="403"/>
      <c r="GH50" s="390"/>
      <c r="GI50" s="390"/>
      <c r="GJ50" s="390"/>
      <c r="GK50" s="268"/>
      <c r="GL50" s="90"/>
      <c r="GM50" s="266"/>
      <c r="GN50" s="27"/>
      <c r="GO50" s="27"/>
      <c r="GP50" s="27"/>
      <c r="GQ50" s="89"/>
      <c r="GR50" s="27"/>
      <c r="GS50" s="90"/>
      <c r="GT50" s="27"/>
      <c r="GU50" s="27"/>
      <c r="GV50" s="27"/>
      <c r="GW50" s="386"/>
      <c r="GX50" s="383"/>
      <c r="GY50" s="384"/>
      <c r="GZ50" s="380"/>
      <c r="HA50" s="380"/>
      <c r="HB50" s="380"/>
      <c r="HC50" s="382"/>
      <c r="HD50" s="380"/>
      <c r="HE50" s="383"/>
      <c r="HF50" s="380"/>
      <c r="HG50" s="380"/>
      <c r="HH50" s="380"/>
      <c r="HI50" s="274"/>
      <c r="HJ50" s="94"/>
      <c r="HK50" s="272"/>
      <c r="HL50" s="29"/>
      <c r="HM50" s="29"/>
      <c r="HN50" s="29"/>
      <c r="HO50" s="92"/>
      <c r="HP50" s="29"/>
      <c r="HQ50" s="94"/>
      <c r="HR50" s="29"/>
      <c r="HS50" s="29"/>
      <c r="HT50" s="29"/>
      <c r="HU50" s="280"/>
      <c r="HV50" s="99"/>
      <c r="HW50" s="278"/>
      <c r="HX50" s="31"/>
      <c r="HY50" s="31"/>
      <c r="HZ50" s="31"/>
      <c r="IA50" s="97"/>
      <c r="IB50" s="31"/>
      <c r="IC50" s="99"/>
      <c r="ID50" s="31"/>
      <c r="IE50" s="31"/>
      <c r="IF50" s="31"/>
    </row>
    <row r="51" spans="1:240">
      <c r="A51" s="216"/>
      <c r="B51" s="68"/>
      <c r="C51" s="214"/>
      <c r="D51" s="6"/>
      <c r="E51" s="6"/>
      <c r="F51" s="6"/>
      <c r="G51" s="6"/>
      <c r="H51" s="6"/>
      <c r="I51" s="6"/>
      <c r="J51" s="6"/>
      <c r="K51" s="6"/>
      <c r="L51" s="6"/>
      <c r="M51" s="386"/>
      <c r="N51" s="380"/>
      <c r="O51" s="384"/>
      <c r="P51" s="380"/>
      <c r="Q51" s="380"/>
      <c r="R51" s="380"/>
      <c r="S51" s="380"/>
      <c r="T51" s="380"/>
      <c r="U51" s="380"/>
      <c r="V51" s="380"/>
      <c r="W51" s="380"/>
      <c r="X51" s="380"/>
      <c r="Y51" s="422"/>
      <c r="Z51" s="412"/>
      <c r="AA51" s="420"/>
      <c r="AB51" s="412"/>
      <c r="AC51" s="412"/>
      <c r="AD51" s="412"/>
      <c r="AE51" s="412"/>
      <c r="AF51" s="412"/>
      <c r="AG51" s="412"/>
      <c r="AH51" s="412"/>
      <c r="AI51" s="412"/>
      <c r="AJ51" s="412"/>
      <c r="AK51" s="431"/>
      <c r="AL51" s="413"/>
      <c r="AM51" s="429"/>
      <c r="AN51" s="413"/>
      <c r="AO51" s="413"/>
      <c r="AP51" s="413"/>
      <c r="AQ51" s="413"/>
      <c r="AR51" s="413"/>
      <c r="AS51" s="413"/>
      <c r="AT51" s="413"/>
      <c r="AU51" s="413"/>
      <c r="AV51" s="413"/>
      <c r="AW51" s="221"/>
      <c r="AX51" s="9"/>
      <c r="AY51" s="219"/>
      <c r="AZ51" s="9"/>
      <c r="BA51" s="9"/>
      <c r="BB51" s="9"/>
      <c r="BC51" s="9"/>
      <c r="BD51" s="9"/>
      <c r="BE51" s="9"/>
      <c r="BF51" s="9"/>
      <c r="BG51" s="9"/>
      <c r="BH51" s="9"/>
      <c r="BI51" s="440"/>
      <c r="BJ51" s="437"/>
      <c r="BK51" s="438"/>
      <c r="BL51" s="414"/>
      <c r="BM51" s="414"/>
      <c r="BN51" s="414"/>
      <c r="BO51" s="414"/>
      <c r="BP51" s="414"/>
      <c r="BQ51" s="414"/>
      <c r="BR51" s="414"/>
      <c r="BS51" s="414"/>
      <c r="BT51" s="414"/>
      <c r="BU51" s="227"/>
      <c r="BV51" s="13"/>
      <c r="BW51" s="225"/>
      <c r="BX51" s="13"/>
      <c r="BY51" s="13"/>
      <c r="BZ51" s="13"/>
      <c r="CA51" s="13"/>
      <c r="CB51" s="13"/>
      <c r="CC51" s="13"/>
      <c r="CD51" s="13"/>
      <c r="CE51" s="13"/>
      <c r="CF51" s="13"/>
      <c r="CG51" s="398"/>
      <c r="CH51" s="395"/>
      <c r="CI51" s="396"/>
      <c r="CJ51" s="14"/>
      <c r="CK51" s="14"/>
      <c r="CL51" s="14"/>
      <c r="CM51" s="14"/>
      <c r="CN51" s="14"/>
      <c r="CO51" s="14"/>
      <c r="CP51" s="14"/>
      <c r="CQ51" s="14"/>
      <c r="CR51" s="14"/>
      <c r="CS51" s="235"/>
      <c r="CT51" s="17"/>
      <c r="CU51" s="233"/>
      <c r="CV51" s="17"/>
      <c r="CW51" s="17"/>
      <c r="CX51" s="17"/>
      <c r="CY51" s="17"/>
      <c r="CZ51" s="17"/>
      <c r="DA51" s="17"/>
      <c r="DB51" s="17"/>
      <c r="DC51" s="17"/>
      <c r="DD51" s="17"/>
      <c r="DE51" s="448"/>
      <c r="DF51" s="143"/>
      <c r="DG51" s="446"/>
      <c r="DH51" s="143"/>
      <c r="DI51" s="143"/>
      <c r="DJ51" s="143"/>
      <c r="DK51" s="143"/>
      <c r="DL51" s="143"/>
      <c r="DM51" s="143"/>
      <c r="DN51" s="143"/>
      <c r="DO51" s="143"/>
      <c r="DP51" s="143"/>
      <c r="DQ51" s="386"/>
      <c r="DR51" s="380"/>
      <c r="DS51" s="384"/>
      <c r="DT51" s="380"/>
      <c r="DU51" s="380"/>
      <c r="DV51" s="380"/>
      <c r="DW51" s="380"/>
      <c r="DX51" s="380"/>
      <c r="DY51" s="380"/>
      <c r="DZ51" s="380"/>
      <c r="EA51" s="380"/>
      <c r="EB51" s="380"/>
      <c r="EC51" s="241"/>
      <c r="ED51" s="19"/>
      <c r="EE51" s="242"/>
      <c r="EF51" s="19"/>
      <c r="EG51" s="19"/>
      <c r="EH51" s="19"/>
      <c r="EI51" s="19"/>
      <c r="EJ51" s="19"/>
      <c r="EK51" s="19"/>
      <c r="EL51" s="19"/>
      <c r="EM51" s="19"/>
      <c r="EN51" s="19"/>
      <c r="EO51" s="247"/>
      <c r="EP51" s="82"/>
      <c r="EQ51" s="245"/>
      <c r="ER51" s="21"/>
      <c r="ES51" s="21"/>
      <c r="ET51" s="21"/>
      <c r="EU51" s="21"/>
      <c r="EV51" s="21"/>
      <c r="EW51" s="21"/>
      <c r="EX51" s="21"/>
      <c r="EY51" s="21"/>
      <c r="EZ51" s="21"/>
      <c r="FA51" s="255"/>
      <c r="FB51" s="252"/>
      <c r="FC51" s="256"/>
      <c r="FD51" s="23"/>
      <c r="FE51" s="23"/>
      <c r="FF51" s="23"/>
      <c r="FG51" s="23"/>
      <c r="FH51" s="23"/>
      <c r="FI51" s="23"/>
      <c r="FJ51" s="23"/>
      <c r="FK51" s="23"/>
      <c r="FL51" s="23"/>
      <c r="FM51" s="261"/>
      <c r="FN51" s="87"/>
      <c r="FO51" s="259"/>
      <c r="FP51" s="25"/>
      <c r="FQ51" s="25"/>
      <c r="FR51" s="25"/>
      <c r="FS51" s="25"/>
      <c r="FT51" s="25"/>
      <c r="FU51" s="25"/>
      <c r="FV51" s="25"/>
      <c r="FW51" s="25"/>
      <c r="FX51" s="25"/>
      <c r="FY51" s="406"/>
      <c r="FZ51" s="390"/>
      <c r="GA51" s="404"/>
      <c r="GB51" s="390"/>
      <c r="GC51" s="390"/>
      <c r="GD51" s="390"/>
      <c r="GE51" s="390"/>
      <c r="GF51" s="390"/>
      <c r="GG51" s="390"/>
      <c r="GH51" s="390"/>
      <c r="GI51" s="390"/>
      <c r="GJ51" s="390"/>
      <c r="GK51" s="268"/>
      <c r="GL51" s="90"/>
      <c r="GM51" s="266"/>
      <c r="GN51" s="27"/>
      <c r="GO51" s="27"/>
      <c r="GP51" s="27"/>
      <c r="GQ51" s="27"/>
      <c r="GR51" s="27"/>
      <c r="GS51" s="27"/>
      <c r="GT51" s="27"/>
      <c r="GU51" s="27"/>
      <c r="GV51" s="27"/>
      <c r="GW51" s="386"/>
      <c r="GX51" s="383"/>
      <c r="GY51" s="384"/>
      <c r="GZ51" s="380"/>
      <c r="HA51" s="380"/>
      <c r="HB51" s="380"/>
      <c r="HC51" s="380"/>
      <c r="HD51" s="380"/>
      <c r="HE51" s="380"/>
      <c r="HF51" s="380"/>
      <c r="HG51" s="380"/>
      <c r="HH51" s="380"/>
      <c r="HI51" s="274"/>
      <c r="HJ51" s="94"/>
      <c r="HK51" s="272"/>
      <c r="HL51" s="29"/>
      <c r="HM51" s="29"/>
      <c r="HN51" s="29"/>
      <c r="HO51" s="29"/>
      <c r="HP51" s="29"/>
      <c r="HQ51" s="29"/>
      <c r="HR51" s="29"/>
      <c r="HS51" s="29"/>
      <c r="HT51" s="29"/>
      <c r="HU51" s="280"/>
      <c r="HV51" s="99"/>
      <c r="HW51" s="278"/>
      <c r="HX51" s="31"/>
      <c r="HY51" s="31"/>
      <c r="HZ51" s="31"/>
      <c r="IA51" s="31"/>
      <c r="IB51" s="31"/>
      <c r="IC51" s="31"/>
      <c r="ID51" s="31"/>
      <c r="IE51" s="31"/>
      <c r="IF51" s="31"/>
    </row>
    <row r="52" spans="1:240" s="115" customFormat="1">
      <c r="A52" s="68" t="s">
        <v>94</v>
      </c>
      <c r="B52" s="68">
        <f>tableTmp!$A$2</f>
        <v>1</v>
      </c>
      <c r="C52" s="307"/>
      <c r="D52" s="68"/>
      <c r="E52" s="68"/>
      <c r="F52" s="68"/>
      <c r="G52" s="66" t="s">
        <v>440</v>
      </c>
      <c r="H52" s="68"/>
      <c r="I52" s="68"/>
      <c r="J52" s="68"/>
      <c r="K52" s="66">
        <f>$B$54</f>
        <v>0</v>
      </c>
      <c r="L52" s="68"/>
      <c r="M52" s="383" t="s">
        <v>94</v>
      </c>
      <c r="N52" s="383">
        <f>tableTmp!$A$3</f>
        <v>2</v>
      </c>
      <c r="O52" s="387"/>
      <c r="P52" s="383"/>
      <c r="Q52" s="383"/>
      <c r="R52" s="383"/>
      <c r="S52" s="382" t="s">
        <v>440</v>
      </c>
      <c r="T52" s="383"/>
      <c r="U52" s="383"/>
      <c r="V52" s="383"/>
      <c r="W52" s="382">
        <f>$N$54</f>
        <v>0</v>
      </c>
      <c r="X52" s="383"/>
      <c r="Y52" s="419" t="s">
        <v>94</v>
      </c>
      <c r="Z52" s="419">
        <f>tableTmp!$A$4</f>
        <v>3</v>
      </c>
      <c r="AA52" s="423"/>
      <c r="AB52" s="419"/>
      <c r="AC52" s="419"/>
      <c r="AD52" s="419"/>
      <c r="AE52" s="418" t="s">
        <v>440</v>
      </c>
      <c r="AF52" s="419"/>
      <c r="AG52" s="419"/>
      <c r="AH52" s="419"/>
      <c r="AI52" s="418">
        <f>$Z$54</f>
        <v>0</v>
      </c>
      <c r="AJ52" s="419"/>
      <c r="AK52" s="428" t="s">
        <v>94</v>
      </c>
      <c r="AL52" s="428">
        <f>tableTmp!$A$5</f>
        <v>4</v>
      </c>
      <c r="AM52" s="432"/>
      <c r="AN52" s="428"/>
      <c r="AO52" s="428"/>
      <c r="AP52" s="428"/>
      <c r="AQ52" s="427" t="s">
        <v>440</v>
      </c>
      <c r="AR52" s="428"/>
      <c r="AS52" s="428"/>
      <c r="AT52" s="428"/>
      <c r="AU52" s="427">
        <f>$AL$54</f>
        <v>0</v>
      </c>
      <c r="AV52" s="428"/>
      <c r="AW52" s="73" t="s">
        <v>94</v>
      </c>
      <c r="AX52" s="73">
        <f>tableTmp!$A$6</f>
        <v>5</v>
      </c>
      <c r="AY52" s="308"/>
      <c r="AZ52" s="73"/>
      <c r="BA52" s="73"/>
      <c r="BB52" s="73"/>
      <c r="BC52" s="71" t="s">
        <v>440</v>
      </c>
      <c r="BD52" s="73"/>
      <c r="BE52" s="73"/>
      <c r="BF52" s="73"/>
      <c r="BG52" s="71">
        <f>$AX$54</f>
        <v>0</v>
      </c>
      <c r="BH52" s="73"/>
      <c r="BI52" s="437" t="s">
        <v>94</v>
      </c>
      <c r="BJ52" s="437">
        <f>tableTmp!$A$7</f>
        <v>6</v>
      </c>
      <c r="BK52" s="441"/>
      <c r="BL52" s="437"/>
      <c r="BM52" s="437"/>
      <c r="BN52" s="437"/>
      <c r="BO52" s="436" t="s">
        <v>440</v>
      </c>
      <c r="BP52" s="437"/>
      <c r="BQ52" s="437"/>
      <c r="BR52" s="437"/>
      <c r="BS52" s="436">
        <f>$BJ$54</f>
        <v>0</v>
      </c>
      <c r="BT52" s="437"/>
      <c r="BU52" s="148" t="s">
        <v>94</v>
      </c>
      <c r="BV52" s="148">
        <f>tableTmp!$A$8</f>
        <v>7</v>
      </c>
      <c r="BW52" s="309"/>
      <c r="BX52" s="148"/>
      <c r="BY52" s="148"/>
      <c r="BZ52" s="148"/>
      <c r="CA52" s="146" t="s">
        <v>440</v>
      </c>
      <c r="CB52" s="148"/>
      <c r="CC52" s="148"/>
      <c r="CD52" s="148"/>
      <c r="CE52" s="146">
        <f>$BV$54</f>
        <v>0</v>
      </c>
      <c r="CF52" s="148"/>
      <c r="CG52" s="395" t="s">
        <v>94</v>
      </c>
      <c r="CH52" s="395">
        <f>tableTmp!$A$9</f>
        <v>8</v>
      </c>
      <c r="CI52" s="399"/>
      <c r="CJ52" s="395"/>
      <c r="CK52" s="395"/>
      <c r="CL52" s="395"/>
      <c r="CM52" s="394" t="s">
        <v>440</v>
      </c>
      <c r="CN52" s="395"/>
      <c r="CO52" s="395"/>
      <c r="CP52" s="395"/>
      <c r="CQ52" s="394">
        <f>$CH$54</f>
        <v>0</v>
      </c>
      <c r="CR52" s="395"/>
      <c r="CS52" s="232" t="s">
        <v>94</v>
      </c>
      <c r="CT52" s="232">
        <f>tableTmp!$A$10</f>
        <v>9</v>
      </c>
      <c r="CU52" s="310"/>
      <c r="CV52" s="232"/>
      <c r="CW52" s="232"/>
      <c r="CX52" s="232"/>
      <c r="CY52" s="231" t="s">
        <v>440</v>
      </c>
      <c r="CZ52" s="232"/>
      <c r="DA52" s="232"/>
      <c r="DB52" s="232"/>
      <c r="DC52" s="231">
        <f>$CT$54</f>
        <v>0</v>
      </c>
      <c r="DD52" s="232"/>
      <c r="DE52" s="445" t="s">
        <v>94</v>
      </c>
      <c r="DF52" s="445">
        <f>tableTmp!$A$11</f>
        <v>10</v>
      </c>
      <c r="DG52" s="449"/>
      <c r="DH52" s="445"/>
      <c r="DI52" s="445"/>
      <c r="DJ52" s="445"/>
      <c r="DK52" s="444" t="s">
        <v>440</v>
      </c>
      <c r="DL52" s="445"/>
      <c r="DM52" s="445"/>
      <c r="DN52" s="445"/>
      <c r="DO52" s="444">
        <f>$DF$54</f>
        <v>0</v>
      </c>
      <c r="DP52" s="445"/>
      <c r="DQ52" s="383" t="s">
        <v>94</v>
      </c>
      <c r="DR52" s="383">
        <f>tableTmp!$A$12</f>
        <v>11</v>
      </c>
      <c r="DS52" s="387"/>
      <c r="DT52" s="383"/>
      <c r="DU52" s="383"/>
      <c r="DV52" s="383"/>
      <c r="DW52" s="382" t="s">
        <v>440</v>
      </c>
      <c r="DX52" s="383"/>
      <c r="DY52" s="383"/>
      <c r="DZ52" s="383"/>
      <c r="EA52" s="382">
        <f>$DR$54</f>
        <v>0</v>
      </c>
      <c r="EB52" s="383"/>
      <c r="EC52" s="209" t="s">
        <v>94</v>
      </c>
      <c r="ED52" s="209">
        <f>tableTmp!$A$13</f>
        <v>12</v>
      </c>
      <c r="EE52" s="311"/>
      <c r="EF52" s="209"/>
      <c r="EG52" s="209"/>
      <c r="EH52" s="209"/>
      <c r="EI52" s="207" t="s">
        <v>440</v>
      </c>
      <c r="EJ52" s="209"/>
      <c r="EK52" s="209"/>
      <c r="EL52" s="209"/>
      <c r="EM52" s="207">
        <f>$ED$54</f>
        <v>0</v>
      </c>
      <c r="EN52" s="209"/>
      <c r="EO52" s="82" t="s">
        <v>94</v>
      </c>
      <c r="EP52" s="82">
        <f>tableTmp!$A$14</f>
        <v>13</v>
      </c>
      <c r="EQ52" s="312"/>
      <c r="ER52" s="82"/>
      <c r="ES52" s="82"/>
      <c r="ET52" s="82"/>
      <c r="EU52" s="80" t="s">
        <v>440</v>
      </c>
      <c r="EV52" s="82"/>
      <c r="EW52" s="82"/>
      <c r="EX52" s="82"/>
      <c r="EY52" s="80">
        <f>$EP$54</f>
        <v>0</v>
      </c>
      <c r="EZ52" s="82"/>
      <c r="FA52" s="252" t="s">
        <v>94</v>
      </c>
      <c r="FB52" s="252">
        <f>tableTmp!$A$15</f>
        <v>14</v>
      </c>
      <c r="FC52" s="313"/>
      <c r="FD52" s="252"/>
      <c r="FE52" s="252"/>
      <c r="FF52" s="252"/>
      <c r="FG52" s="251" t="s">
        <v>440</v>
      </c>
      <c r="FH52" s="252"/>
      <c r="FI52" s="252"/>
      <c r="FJ52" s="252"/>
      <c r="FK52" s="251">
        <f>$FB$54</f>
        <v>0</v>
      </c>
      <c r="FL52" s="252"/>
      <c r="FM52" s="87" t="s">
        <v>94</v>
      </c>
      <c r="FN52" s="87">
        <f>tableTmp!$A$16</f>
        <v>15</v>
      </c>
      <c r="FO52" s="314"/>
      <c r="FP52" s="87"/>
      <c r="FQ52" s="87"/>
      <c r="FR52" s="87"/>
      <c r="FS52" s="85" t="s">
        <v>440</v>
      </c>
      <c r="FT52" s="87"/>
      <c r="FU52" s="87"/>
      <c r="FV52" s="87"/>
      <c r="FW52" s="85">
        <f>$FN$54</f>
        <v>0</v>
      </c>
      <c r="FX52" s="87"/>
      <c r="FY52" s="403" t="s">
        <v>94</v>
      </c>
      <c r="FZ52" s="403">
        <f>tableTmp!$A$17</f>
        <v>16</v>
      </c>
      <c r="GA52" s="407"/>
      <c r="GB52" s="403"/>
      <c r="GC52" s="403"/>
      <c r="GD52" s="403"/>
      <c r="GE52" s="402" t="s">
        <v>440</v>
      </c>
      <c r="GF52" s="403"/>
      <c r="GG52" s="403"/>
      <c r="GH52" s="403"/>
      <c r="GI52" s="402">
        <f>$FZ$54</f>
        <v>0</v>
      </c>
      <c r="GJ52" s="403"/>
      <c r="GK52" s="90" t="s">
        <v>94</v>
      </c>
      <c r="GL52" s="90">
        <f>tableTmp!$A$18</f>
        <v>17</v>
      </c>
      <c r="GM52" s="315"/>
      <c r="GN52" s="90"/>
      <c r="GO52" s="90"/>
      <c r="GP52" s="90"/>
      <c r="GQ52" s="89" t="s">
        <v>440</v>
      </c>
      <c r="GR52" s="90"/>
      <c r="GS52" s="90"/>
      <c r="GT52" s="90"/>
      <c r="GU52" s="89">
        <f>$GL$54</f>
        <v>0</v>
      </c>
      <c r="GV52" s="90"/>
      <c r="GW52" s="383" t="s">
        <v>94</v>
      </c>
      <c r="GX52" s="383">
        <f>tableTmp!$A$19</f>
        <v>18</v>
      </c>
      <c r="GY52" s="387"/>
      <c r="GZ52" s="383"/>
      <c r="HA52" s="383"/>
      <c r="HB52" s="383"/>
      <c r="HC52" s="382" t="s">
        <v>440</v>
      </c>
      <c r="HD52" s="383"/>
      <c r="HE52" s="383"/>
      <c r="HF52" s="383"/>
      <c r="HG52" s="382">
        <f>$GX$54</f>
        <v>0</v>
      </c>
      <c r="HH52" s="383"/>
      <c r="HI52" s="94" t="s">
        <v>94</v>
      </c>
      <c r="HJ52" s="94">
        <f>tableTmp!$A$20</f>
        <v>19</v>
      </c>
      <c r="HK52" s="316"/>
      <c r="HL52" s="94"/>
      <c r="HM52" s="94"/>
      <c r="HN52" s="94"/>
      <c r="HO52" s="92" t="s">
        <v>440</v>
      </c>
      <c r="HP52" s="94"/>
      <c r="HQ52" s="94"/>
      <c r="HR52" s="94"/>
      <c r="HS52" s="92">
        <f>$HJ$54</f>
        <v>0</v>
      </c>
      <c r="HT52" s="94"/>
      <c r="HU52" s="99" t="s">
        <v>94</v>
      </c>
      <c r="HV52" s="99">
        <f>tableTmp!$A$21</f>
        <v>20</v>
      </c>
      <c r="HW52" s="317"/>
      <c r="HX52" s="99"/>
      <c r="HY52" s="99"/>
      <c r="HZ52" s="99"/>
      <c r="IA52" s="97" t="s">
        <v>440</v>
      </c>
      <c r="IB52" s="99"/>
      <c r="IC52" s="99"/>
      <c r="ID52" s="99"/>
      <c r="IE52" s="97">
        <f>$HV$54</f>
        <v>0</v>
      </c>
      <c r="IF52" s="99"/>
    </row>
    <row r="53" spans="1:240" hidden="1">
      <c r="A53" s="215"/>
      <c r="B53" s="213"/>
      <c r="C53" s="302"/>
      <c r="D53" s="215" t="s">
        <v>441</v>
      </c>
      <c r="E53" s="6">
        <f>SUMIFS(G2:G51,F2:F51,"A")</f>
        <v>0</v>
      </c>
      <c r="F53" s="6"/>
      <c r="G53" s="6"/>
      <c r="H53" s="6"/>
      <c r="I53" s="6"/>
      <c r="J53" s="6"/>
      <c r="K53" s="6"/>
      <c r="L53" s="6"/>
      <c r="M53" s="385"/>
      <c r="N53" s="380"/>
      <c r="O53" s="380"/>
      <c r="P53" s="385" t="s">
        <v>441</v>
      </c>
      <c r="Q53" s="380">
        <f>SUMIFS(S2:S51,R2:R51,"A")</f>
        <v>0</v>
      </c>
      <c r="R53" s="380"/>
      <c r="S53" s="380"/>
      <c r="T53" s="380"/>
      <c r="U53" s="380"/>
      <c r="V53" s="380"/>
      <c r="W53" s="380"/>
      <c r="X53" s="380"/>
      <c r="Y53" s="421"/>
      <c r="Z53" s="412"/>
      <c r="AA53" s="424"/>
      <c r="AB53" s="421" t="s">
        <v>441</v>
      </c>
      <c r="AC53" s="412">
        <f>SUMIFS(AE2:AE51,AD2:AD51,"A")</f>
        <v>0</v>
      </c>
      <c r="AD53" s="412"/>
      <c r="AE53" s="412"/>
      <c r="AF53" s="412"/>
      <c r="AG53" s="412"/>
      <c r="AH53" s="412"/>
      <c r="AI53" s="412"/>
      <c r="AJ53" s="412"/>
      <c r="AK53" s="430"/>
      <c r="AL53" s="413"/>
      <c r="AM53" s="433"/>
      <c r="AN53" s="430" t="s">
        <v>441</v>
      </c>
      <c r="AO53" s="413">
        <f>SUMIFS(AQ2:AQ51,AP2:AP51,"A")</f>
        <v>0</v>
      </c>
      <c r="AP53" s="413"/>
      <c r="AQ53" s="413"/>
      <c r="AR53" s="413"/>
      <c r="AS53" s="413"/>
      <c r="AT53" s="413"/>
      <c r="AU53" s="413"/>
      <c r="AV53" s="413"/>
      <c r="AW53" s="220"/>
      <c r="AX53" s="9"/>
      <c r="AY53" s="222"/>
      <c r="AZ53" s="220" t="s">
        <v>441</v>
      </c>
      <c r="BA53" s="9">
        <f>SUMIFS(BC2:BC51,BB2:BB51,"A")</f>
        <v>0</v>
      </c>
      <c r="BB53" s="9"/>
      <c r="BC53" s="9"/>
      <c r="BD53" s="9"/>
      <c r="BE53" s="9"/>
      <c r="BF53" s="9"/>
      <c r="BG53" s="9"/>
      <c r="BH53" s="9"/>
      <c r="BI53" s="439"/>
      <c r="BJ53" s="414"/>
      <c r="BK53" s="442"/>
      <c r="BL53" s="439" t="s">
        <v>441</v>
      </c>
      <c r="BM53" s="414">
        <f>SUMIFS(BO2:BO51,BN2:BN51,"A")</f>
        <v>0</v>
      </c>
      <c r="BN53" s="414"/>
      <c r="BO53" s="414"/>
      <c r="BP53" s="414"/>
      <c r="BQ53" s="414"/>
      <c r="BR53" s="414"/>
      <c r="BS53" s="414"/>
      <c r="BT53" s="414"/>
      <c r="BU53" s="226"/>
      <c r="BV53" s="13"/>
      <c r="BW53" s="228"/>
      <c r="BX53" s="226" t="s">
        <v>441</v>
      </c>
      <c r="BY53" s="13">
        <f>SUMIFS(CA2:CA51,BZ2:BZ51,"A")</f>
        <v>0</v>
      </c>
      <c r="BZ53" s="13"/>
      <c r="CA53" s="13"/>
      <c r="CB53" s="13"/>
      <c r="CC53" s="13"/>
      <c r="CD53" s="13"/>
      <c r="CE53" s="13"/>
      <c r="CF53" s="13"/>
      <c r="CG53" s="397"/>
      <c r="CH53" s="14"/>
      <c r="CI53" s="400"/>
      <c r="CJ53" s="397" t="s">
        <v>441</v>
      </c>
      <c r="CK53" s="14">
        <f>SUMIFS(CM2:CM51,CL2:CL51,"A")</f>
        <v>0</v>
      </c>
      <c r="CL53" s="14"/>
      <c r="CM53" s="14"/>
      <c r="CN53" s="14"/>
      <c r="CO53" s="14"/>
      <c r="CP53" s="14"/>
      <c r="CQ53" s="14"/>
      <c r="CR53" s="14"/>
      <c r="CS53" s="234"/>
      <c r="CT53" s="17"/>
      <c r="CU53" s="236"/>
      <c r="CV53" s="234" t="s">
        <v>441</v>
      </c>
      <c r="CW53" s="17">
        <f>SUMIFS(CY2:CY51,CX2:CX51,"A")</f>
        <v>0</v>
      </c>
      <c r="CX53" s="17"/>
      <c r="CY53" s="17"/>
      <c r="CZ53" s="17"/>
      <c r="DA53" s="17"/>
      <c r="DB53" s="17"/>
      <c r="DC53" s="17"/>
      <c r="DD53" s="17"/>
      <c r="DE53" s="447"/>
      <c r="DF53" s="143"/>
      <c r="DG53" s="450"/>
      <c r="DH53" s="447" t="s">
        <v>441</v>
      </c>
      <c r="DI53" s="143">
        <f>SUMIFS(DK2:DK51,DJ2:DJ51,"A")</f>
        <v>0</v>
      </c>
      <c r="DJ53" s="143"/>
      <c r="DK53" s="143"/>
      <c r="DL53" s="143"/>
      <c r="DM53" s="143"/>
      <c r="DN53" s="143"/>
      <c r="DO53" s="143"/>
      <c r="DP53" s="143"/>
      <c r="DQ53" s="385"/>
      <c r="DR53" s="380"/>
      <c r="DS53" s="388"/>
      <c r="DT53" s="385" t="s">
        <v>441</v>
      </c>
      <c r="DU53" s="380">
        <f>SUMIFS(DW2:DW51,DV2:DV51,"A")</f>
        <v>0</v>
      </c>
      <c r="DV53" s="380"/>
      <c r="DW53" s="380"/>
      <c r="DX53" s="380"/>
      <c r="DY53" s="380"/>
      <c r="DZ53" s="380"/>
      <c r="EA53" s="380"/>
      <c r="EB53" s="380"/>
      <c r="EC53" s="240"/>
      <c r="ED53" s="19"/>
      <c r="EE53" s="242"/>
      <c r="EF53" s="240" t="s">
        <v>441</v>
      </c>
      <c r="EG53" s="19">
        <f>SUMIFS(EI2:EI51,EH2:EH51,"A")</f>
        <v>0</v>
      </c>
      <c r="EH53" s="19"/>
      <c r="EI53" s="19"/>
      <c r="EJ53" s="19"/>
      <c r="EK53" s="19"/>
      <c r="EL53" s="19"/>
      <c r="EM53" s="19"/>
      <c r="EN53" s="19"/>
      <c r="EO53" s="246"/>
      <c r="EP53" s="21"/>
      <c r="EQ53" s="248"/>
      <c r="ER53" s="246" t="s">
        <v>441</v>
      </c>
      <c r="ES53" s="21">
        <f>SUMIFS(EU2:EU51,ET2:ET51,"A")</f>
        <v>0</v>
      </c>
      <c r="ET53" s="21"/>
      <c r="EU53" s="21"/>
      <c r="EV53" s="21"/>
      <c r="EW53" s="21"/>
      <c r="EX53" s="21"/>
      <c r="EY53" s="21"/>
      <c r="EZ53" s="21"/>
      <c r="FA53" s="254"/>
      <c r="FB53" s="23"/>
      <c r="FC53" s="256"/>
      <c r="FD53" s="254" t="s">
        <v>441</v>
      </c>
      <c r="FE53" s="23">
        <f>SUMIFS(FG2:FG51,FF2:FF51,"A")</f>
        <v>0</v>
      </c>
      <c r="FF53" s="23"/>
      <c r="FG53" s="23"/>
      <c r="FH53" s="23"/>
      <c r="FI53" s="23"/>
      <c r="FJ53" s="23"/>
      <c r="FK53" s="23"/>
      <c r="FL53" s="23"/>
      <c r="FM53" s="260"/>
      <c r="FN53" s="25"/>
      <c r="FO53" s="262"/>
      <c r="FP53" s="260" t="s">
        <v>441</v>
      </c>
      <c r="FQ53" s="25">
        <f>SUMIFS(FS2:FS51,FR2:FR51,"A")</f>
        <v>0</v>
      </c>
      <c r="FR53" s="25"/>
      <c r="FS53" s="25"/>
      <c r="FT53" s="25"/>
      <c r="FU53" s="25"/>
      <c r="FV53" s="25"/>
      <c r="FW53" s="25"/>
      <c r="FX53" s="25"/>
      <c r="FY53" s="405"/>
      <c r="FZ53" s="390"/>
      <c r="GA53" s="408"/>
      <c r="GB53" s="405" t="s">
        <v>441</v>
      </c>
      <c r="GC53" s="390">
        <f>SUMIFS(GE2:GE51,GD2:GD51,"A")</f>
        <v>0</v>
      </c>
      <c r="GD53" s="390"/>
      <c r="GE53" s="390"/>
      <c r="GF53" s="390"/>
      <c r="GG53" s="390"/>
      <c r="GH53" s="390"/>
      <c r="GI53" s="390"/>
      <c r="GJ53" s="390"/>
      <c r="GK53" s="267"/>
      <c r="GL53" s="27"/>
      <c r="GM53" s="269"/>
      <c r="GN53" s="267" t="s">
        <v>441</v>
      </c>
      <c r="GO53" s="27">
        <f>SUMIFS(GQ2:GQ51,GP2:GP51,"A")</f>
        <v>0</v>
      </c>
      <c r="GP53" s="27"/>
      <c r="GQ53" s="27"/>
      <c r="GR53" s="27"/>
      <c r="GS53" s="27"/>
      <c r="GT53" s="27"/>
      <c r="GU53" s="27"/>
      <c r="GV53" s="27"/>
      <c r="GW53" s="385"/>
      <c r="GX53" s="380"/>
      <c r="GY53" s="388"/>
      <c r="GZ53" s="385" t="s">
        <v>441</v>
      </c>
      <c r="HA53" s="380">
        <f>SUMIFS(HC2:HC51,HB2:HB51,"A")</f>
        <v>0</v>
      </c>
      <c r="HB53" s="380"/>
      <c r="HC53" s="380"/>
      <c r="HD53" s="380"/>
      <c r="HE53" s="380"/>
      <c r="HF53" s="380"/>
      <c r="HG53" s="380"/>
      <c r="HH53" s="380"/>
      <c r="HI53" s="273"/>
      <c r="HJ53" s="29"/>
      <c r="HK53" s="275"/>
      <c r="HL53" s="273" t="s">
        <v>441</v>
      </c>
      <c r="HM53" s="29">
        <f>SUMIFS(HO2:HO51,HN2:HN51,"A")</f>
        <v>0</v>
      </c>
      <c r="HN53" s="29"/>
      <c r="HO53" s="29"/>
      <c r="HP53" s="29"/>
      <c r="HQ53" s="29"/>
      <c r="HR53" s="29"/>
      <c r="HS53" s="29"/>
      <c r="HT53" s="29"/>
      <c r="HU53" s="279"/>
      <c r="HV53" s="31"/>
      <c r="HW53" s="281"/>
      <c r="HX53" s="279" t="s">
        <v>441</v>
      </c>
      <c r="HY53" s="31">
        <f>SUMIFS(IA2:IA51,HZ2:HZ51,"A")</f>
        <v>0</v>
      </c>
      <c r="HZ53" s="31"/>
      <c r="IA53" s="31"/>
      <c r="IB53" s="31"/>
      <c r="IC53" s="31"/>
      <c r="ID53" s="31"/>
      <c r="IE53" s="31"/>
      <c r="IF53" s="31"/>
    </row>
    <row r="54" spans="1:240" hidden="1">
      <c r="A54" s="215" t="s">
        <v>177</v>
      </c>
      <c r="B54" s="68">
        <f>3*B56+B57</f>
        <v>0</v>
      </c>
      <c r="C54" s="213"/>
      <c r="D54" s="215" t="s">
        <v>100</v>
      </c>
      <c r="E54" s="68">
        <f>SUM(G2:G51)</f>
        <v>0</v>
      </c>
      <c r="F54" s="6"/>
      <c r="G54" s="6" t="e">
        <f ca="1">INDIRECT(A$61&amp;J54)</f>
        <v>#N/A</v>
      </c>
      <c r="H54" s="6"/>
      <c r="I54" s="6"/>
      <c r="J54" s="6" t="e">
        <f>LOOKUP(2,1 / (J2:J50&lt;&gt; ""),ROW(J2:J50))</f>
        <v>#N/A</v>
      </c>
      <c r="K54" s="6"/>
      <c r="L54" s="6"/>
      <c r="M54" s="385" t="s">
        <v>177</v>
      </c>
      <c r="N54" s="380">
        <f>3*N56+N57</f>
        <v>0</v>
      </c>
      <c r="O54" s="380"/>
      <c r="P54" s="385" t="s">
        <v>100</v>
      </c>
      <c r="Q54" s="380">
        <f>SUM(S2:S51)</f>
        <v>0</v>
      </c>
      <c r="R54" s="380"/>
      <c r="S54" s="380" t="e">
        <f ca="1">INDIRECT(M$61&amp;V54)</f>
        <v>#N/A</v>
      </c>
      <c r="T54" s="380"/>
      <c r="U54" s="380"/>
      <c r="V54" s="380" t="e">
        <f>LOOKUP(2,1 / (V2:V50&lt;&gt; ""),ROW(V2:V50))</f>
        <v>#N/A</v>
      </c>
      <c r="W54" s="380"/>
      <c r="X54" s="380"/>
      <c r="Y54" s="421" t="s">
        <v>177</v>
      </c>
      <c r="Z54" s="412">
        <f>3*Z56+Z57</f>
        <v>0</v>
      </c>
      <c r="AA54" s="424"/>
      <c r="AB54" s="421" t="s">
        <v>100</v>
      </c>
      <c r="AC54" s="412">
        <f>SUM(AE2:AE51)</f>
        <v>0</v>
      </c>
      <c r="AD54" s="412"/>
      <c r="AE54" s="412" t="e">
        <f ca="1">INDIRECT(Y$61&amp;AH54)</f>
        <v>#N/A</v>
      </c>
      <c r="AF54" s="412"/>
      <c r="AG54" s="412"/>
      <c r="AH54" s="412" t="e">
        <f>LOOKUP(2,1 / (AH2:AH50&lt;&gt; ""),ROW(AH2:AH50))</f>
        <v>#N/A</v>
      </c>
      <c r="AI54" s="412"/>
      <c r="AJ54" s="412"/>
      <c r="AK54" s="430" t="s">
        <v>177</v>
      </c>
      <c r="AL54" s="413">
        <f>3*AL56+AL57</f>
        <v>0</v>
      </c>
      <c r="AM54" s="433"/>
      <c r="AN54" s="430" t="s">
        <v>100</v>
      </c>
      <c r="AO54" s="413">
        <f>SUM(AQ2:AQ51)</f>
        <v>0</v>
      </c>
      <c r="AP54" s="413"/>
      <c r="AQ54" s="413" t="e">
        <f ca="1">INDIRECT(AK$61&amp;AT54)</f>
        <v>#N/A</v>
      </c>
      <c r="AR54" s="413"/>
      <c r="AS54" s="413"/>
      <c r="AT54" s="413" t="e">
        <f>LOOKUP(2,1 / (AT2:AT50&lt;&gt; ""),ROW(AT2:AT50))</f>
        <v>#N/A</v>
      </c>
      <c r="AU54" s="413"/>
      <c r="AV54" s="413"/>
      <c r="AW54" s="220" t="s">
        <v>177</v>
      </c>
      <c r="AX54" s="9">
        <f>3*AX56+AX57</f>
        <v>0</v>
      </c>
      <c r="AY54" s="222"/>
      <c r="AZ54" s="220" t="s">
        <v>100</v>
      </c>
      <c r="BA54" s="9">
        <f>SUM(BC2:BC51)</f>
        <v>0</v>
      </c>
      <c r="BB54" s="9"/>
      <c r="BC54" s="9" t="e">
        <f ca="1">INDIRECT(AW$61&amp;BF54)</f>
        <v>#N/A</v>
      </c>
      <c r="BD54" s="9"/>
      <c r="BE54" s="9"/>
      <c r="BF54" s="9" t="e">
        <f>LOOKUP(2,1 / (BF2:BF50&lt;&gt; ""),ROW(BF2:BF50))</f>
        <v>#N/A</v>
      </c>
      <c r="BG54" s="9"/>
      <c r="BH54" s="9"/>
      <c r="BI54" s="439" t="s">
        <v>177</v>
      </c>
      <c r="BJ54" s="414">
        <f>3*BJ56+BJ57</f>
        <v>0</v>
      </c>
      <c r="BK54" s="442"/>
      <c r="BL54" s="439" t="s">
        <v>100</v>
      </c>
      <c r="BM54" s="414">
        <f>SUM(BO2:BO51)</f>
        <v>0</v>
      </c>
      <c r="BN54" s="414"/>
      <c r="BO54" s="414" t="e">
        <f ca="1">INDIRECT(BI$61&amp;BR54)</f>
        <v>#N/A</v>
      </c>
      <c r="BP54" s="414"/>
      <c r="BQ54" s="414"/>
      <c r="BR54" s="414" t="e">
        <f>LOOKUP(2,1 / (BR2:BR50&lt;&gt; ""),ROW(BR2:BR50))</f>
        <v>#N/A</v>
      </c>
      <c r="BS54" s="414"/>
      <c r="BT54" s="414"/>
      <c r="BU54" s="226" t="s">
        <v>177</v>
      </c>
      <c r="BV54" s="13">
        <f>3*BV56+BV57</f>
        <v>0</v>
      </c>
      <c r="BW54" s="228"/>
      <c r="BX54" s="226" t="s">
        <v>100</v>
      </c>
      <c r="BY54" s="13">
        <f>SUM(CA2:CA51)</f>
        <v>0</v>
      </c>
      <c r="BZ54" s="13"/>
      <c r="CA54" s="13" t="e">
        <f ca="1">INDIRECT(BU$61&amp;CD54)</f>
        <v>#N/A</v>
      </c>
      <c r="CB54" s="13"/>
      <c r="CC54" s="13"/>
      <c r="CD54" s="13" t="e">
        <f>LOOKUP(2,1 / (CD2:CD50&lt;&gt; ""),ROW(CD2:CD50))</f>
        <v>#N/A</v>
      </c>
      <c r="CE54" s="13"/>
      <c r="CF54" s="13"/>
      <c r="CG54" s="397" t="s">
        <v>177</v>
      </c>
      <c r="CH54" s="14">
        <f>3*CH56+CH57</f>
        <v>0</v>
      </c>
      <c r="CI54" s="400"/>
      <c r="CJ54" s="397" t="s">
        <v>100</v>
      </c>
      <c r="CK54" s="14">
        <f>SUM(CM2:CM51)</f>
        <v>0</v>
      </c>
      <c r="CL54" s="14"/>
      <c r="CM54" s="14" t="e">
        <f ca="1">INDIRECT(CG$61&amp;CP54)</f>
        <v>#N/A</v>
      </c>
      <c r="CN54" s="14"/>
      <c r="CO54" s="14"/>
      <c r="CP54" s="14" t="e">
        <f>LOOKUP(2,1 / (CP2:CP50&lt;&gt; ""),ROW(CP2:CP50))</f>
        <v>#N/A</v>
      </c>
      <c r="CQ54" s="14"/>
      <c r="CR54" s="14"/>
      <c r="CS54" s="234" t="s">
        <v>177</v>
      </c>
      <c r="CT54" s="17">
        <f>3*CT56+CT57</f>
        <v>0</v>
      </c>
      <c r="CU54" s="236"/>
      <c r="CV54" s="234" t="s">
        <v>100</v>
      </c>
      <c r="CW54" s="17">
        <f>SUM(CY2:CY51)</f>
        <v>0</v>
      </c>
      <c r="CX54" s="17"/>
      <c r="CY54" s="17" t="e">
        <f ca="1">INDIRECT(CS$61&amp;DB54)</f>
        <v>#N/A</v>
      </c>
      <c r="CZ54" s="17"/>
      <c r="DA54" s="17"/>
      <c r="DB54" s="17" t="e">
        <f>LOOKUP(2,1 / (DB2:DB50&lt;&gt; ""),ROW(DB2:DB50))</f>
        <v>#N/A</v>
      </c>
      <c r="DC54" s="17"/>
      <c r="DD54" s="17"/>
      <c r="DE54" s="447" t="s">
        <v>177</v>
      </c>
      <c r="DF54" s="143">
        <f>3*DF56+DF57</f>
        <v>0</v>
      </c>
      <c r="DG54" s="450"/>
      <c r="DH54" s="447" t="s">
        <v>100</v>
      </c>
      <c r="DI54" s="143">
        <f>SUM(DK2:DK51)</f>
        <v>0</v>
      </c>
      <c r="DJ54" s="143"/>
      <c r="DK54" s="143" t="e">
        <f ca="1">INDIRECT(DE$61&amp;DN54)</f>
        <v>#N/A</v>
      </c>
      <c r="DL54" s="143"/>
      <c r="DM54" s="143"/>
      <c r="DN54" s="143" t="e">
        <f>LOOKUP(2,1 / (DN2:DN50&lt;&gt; ""),ROW(DN2:DN50))</f>
        <v>#N/A</v>
      </c>
      <c r="DO54" s="143"/>
      <c r="DP54" s="143"/>
      <c r="DQ54" s="385" t="s">
        <v>177</v>
      </c>
      <c r="DR54" s="380">
        <f>3*DR56+DR57</f>
        <v>0</v>
      </c>
      <c r="DS54" s="388"/>
      <c r="DT54" s="385" t="s">
        <v>100</v>
      </c>
      <c r="DU54" s="380">
        <f>SUM(DW2:DW51)</f>
        <v>0</v>
      </c>
      <c r="DV54" s="380"/>
      <c r="DW54" s="380" t="e">
        <f ca="1">INDIRECT(DQ$61&amp;DZ54)</f>
        <v>#N/A</v>
      </c>
      <c r="DX54" s="380"/>
      <c r="DY54" s="380"/>
      <c r="DZ54" s="380" t="e">
        <f>LOOKUP(2,1 / (DZ2:DZ50&lt;&gt; ""),ROW(DZ2:DZ50))</f>
        <v>#N/A</v>
      </c>
      <c r="EA54" s="380"/>
      <c r="EB54" s="380"/>
      <c r="EC54" s="240" t="s">
        <v>177</v>
      </c>
      <c r="ED54" s="19">
        <f>3*ED56+ED57</f>
        <v>0</v>
      </c>
      <c r="EE54" s="242"/>
      <c r="EF54" s="240" t="s">
        <v>100</v>
      </c>
      <c r="EG54" s="19">
        <f>SUM(EI2:EI51)</f>
        <v>0</v>
      </c>
      <c r="EH54" s="19"/>
      <c r="EI54" s="19" t="e">
        <f ca="1">INDIRECT(EC$61&amp;EL54)</f>
        <v>#N/A</v>
      </c>
      <c r="EJ54" s="19"/>
      <c r="EK54" s="19"/>
      <c r="EL54" s="19" t="e">
        <f>LOOKUP(2,1 / (EL2:EL50&lt;&gt; ""),ROW(EL2:EL50))</f>
        <v>#N/A</v>
      </c>
      <c r="EM54" s="19"/>
      <c r="EN54" s="19"/>
      <c r="EO54" s="246" t="s">
        <v>177</v>
      </c>
      <c r="EP54" s="21">
        <f>3*EP56+EP57</f>
        <v>0</v>
      </c>
      <c r="EQ54" s="248"/>
      <c r="ER54" s="246" t="s">
        <v>100</v>
      </c>
      <c r="ES54" s="21">
        <f>SUM(EU2:EU51)</f>
        <v>0</v>
      </c>
      <c r="ET54" s="21"/>
      <c r="EU54" s="21" t="e">
        <f ca="1">INDIRECT(EO$61&amp;EX54)</f>
        <v>#N/A</v>
      </c>
      <c r="EV54" s="21"/>
      <c r="EW54" s="21"/>
      <c r="EX54" s="21" t="e">
        <f>LOOKUP(2,1 / (EX2:EX50&lt;&gt; ""),ROW(EX2:EX50))</f>
        <v>#N/A</v>
      </c>
      <c r="EY54" s="21"/>
      <c r="EZ54" s="21"/>
      <c r="FA54" s="254" t="s">
        <v>177</v>
      </c>
      <c r="FB54" s="23">
        <f>3*FB56+FB57</f>
        <v>0</v>
      </c>
      <c r="FC54" s="256"/>
      <c r="FD54" s="254" t="s">
        <v>100</v>
      </c>
      <c r="FE54" s="23">
        <f>SUM(FG2:FG51)</f>
        <v>0</v>
      </c>
      <c r="FF54" s="23"/>
      <c r="FG54" s="23" t="e">
        <f ca="1">INDIRECT(FA$61&amp;FJ54)</f>
        <v>#N/A</v>
      </c>
      <c r="FH54" s="23"/>
      <c r="FI54" s="23"/>
      <c r="FJ54" s="23" t="e">
        <f>LOOKUP(2,1 / (FJ2:FJ50&lt;&gt; ""),ROW(FJ2:FJ50))</f>
        <v>#N/A</v>
      </c>
      <c r="FK54" s="23"/>
      <c r="FL54" s="23"/>
      <c r="FM54" s="260" t="s">
        <v>177</v>
      </c>
      <c r="FN54" s="25">
        <f>3*FN56+FN57</f>
        <v>0</v>
      </c>
      <c r="FO54" s="262"/>
      <c r="FP54" s="260" t="s">
        <v>100</v>
      </c>
      <c r="FQ54" s="25">
        <f>SUM(FS2:FS51)</f>
        <v>0</v>
      </c>
      <c r="FR54" s="25"/>
      <c r="FS54" s="25" t="e">
        <f ca="1">INDIRECT(FM$61&amp;FV54)</f>
        <v>#N/A</v>
      </c>
      <c r="FT54" s="25"/>
      <c r="FU54" s="25"/>
      <c r="FV54" s="25" t="e">
        <f>LOOKUP(2,1 / (FV2:FV50&lt;&gt; ""),ROW(FV2:FV50))</f>
        <v>#N/A</v>
      </c>
      <c r="FW54" s="25"/>
      <c r="FX54" s="25"/>
      <c r="FY54" s="405" t="s">
        <v>177</v>
      </c>
      <c r="FZ54" s="390">
        <f>3*FZ56+FZ57</f>
        <v>0</v>
      </c>
      <c r="GA54" s="408"/>
      <c r="GB54" s="405" t="s">
        <v>100</v>
      </c>
      <c r="GC54" s="390">
        <f>SUM(GE2:GE51)</f>
        <v>0</v>
      </c>
      <c r="GD54" s="390"/>
      <c r="GE54" s="390" t="e">
        <f ca="1">INDIRECT(FY$61&amp;GH54)</f>
        <v>#N/A</v>
      </c>
      <c r="GF54" s="390"/>
      <c r="GG54" s="390"/>
      <c r="GH54" s="390" t="e">
        <f>LOOKUP(2,1 / (GH2:GH50&lt;&gt; ""),ROW(GH2:GH50))</f>
        <v>#N/A</v>
      </c>
      <c r="GI54" s="390"/>
      <c r="GJ54" s="390"/>
      <c r="GK54" s="267" t="s">
        <v>177</v>
      </c>
      <c r="GL54" s="27">
        <f>3*GL56+GL57</f>
        <v>0</v>
      </c>
      <c r="GM54" s="269"/>
      <c r="GN54" s="267" t="s">
        <v>100</v>
      </c>
      <c r="GO54" s="27">
        <f>SUM(GQ2:GQ51)</f>
        <v>0</v>
      </c>
      <c r="GP54" s="27"/>
      <c r="GQ54" s="27" t="e">
        <f ca="1">INDIRECT(GK$61&amp;GT54)</f>
        <v>#N/A</v>
      </c>
      <c r="GR54" s="27"/>
      <c r="GS54" s="27"/>
      <c r="GT54" s="27" t="e">
        <f>LOOKUP(2,1 / (GT2:GT50&lt;&gt; ""),ROW(GT2:GT50))</f>
        <v>#N/A</v>
      </c>
      <c r="GU54" s="27"/>
      <c r="GV54" s="27"/>
      <c r="GW54" s="385" t="s">
        <v>177</v>
      </c>
      <c r="GX54" s="380">
        <f>3*GX56+GX57</f>
        <v>0</v>
      </c>
      <c r="GY54" s="388"/>
      <c r="GZ54" s="385" t="s">
        <v>100</v>
      </c>
      <c r="HA54" s="380">
        <f>SUM(HC2:HC51)</f>
        <v>0</v>
      </c>
      <c r="HB54" s="380"/>
      <c r="HC54" s="380" t="e">
        <f ca="1">INDIRECT(GW$61&amp;HF54)</f>
        <v>#N/A</v>
      </c>
      <c r="HD54" s="380"/>
      <c r="HE54" s="380"/>
      <c r="HF54" s="380" t="e">
        <f>LOOKUP(2,1 / (HF2:HF50&lt;&gt; ""),ROW(HF2:HF50))</f>
        <v>#N/A</v>
      </c>
      <c r="HG54" s="380"/>
      <c r="HH54" s="380"/>
      <c r="HI54" s="273" t="s">
        <v>177</v>
      </c>
      <c r="HJ54" s="29">
        <f>3*HJ56+HJ57</f>
        <v>0</v>
      </c>
      <c r="HK54" s="275"/>
      <c r="HL54" s="273" t="s">
        <v>100</v>
      </c>
      <c r="HM54" s="29">
        <f>SUM(HO2:HO51)</f>
        <v>0</v>
      </c>
      <c r="HN54" s="29"/>
      <c r="HO54" s="29" t="e">
        <f ca="1">INDIRECT(HI$61&amp;HR54)</f>
        <v>#N/A</v>
      </c>
      <c r="HP54" s="29"/>
      <c r="HQ54" s="29"/>
      <c r="HR54" s="29" t="e">
        <f>LOOKUP(2,1 / (HR2:HR50&lt;&gt; ""),ROW(HR2:HR50))</f>
        <v>#N/A</v>
      </c>
      <c r="HS54" s="29"/>
      <c r="HT54" s="29"/>
      <c r="HU54" s="279" t="s">
        <v>177</v>
      </c>
      <c r="HV54" s="31">
        <f>3*HV56+HV57</f>
        <v>0</v>
      </c>
      <c r="HW54" s="281"/>
      <c r="HX54" s="279" t="s">
        <v>100</v>
      </c>
      <c r="HY54" s="31">
        <f>SUM(IA2:IA51)</f>
        <v>0</v>
      </c>
      <c r="HZ54" s="31"/>
      <c r="IA54" s="31" t="e">
        <f ca="1">INDIRECT(HU$61&amp;ID54)</f>
        <v>#N/A</v>
      </c>
      <c r="IB54" s="31"/>
      <c r="IC54" s="31"/>
      <c r="ID54" s="31" t="e">
        <f>LOOKUP(2,1 / (ID2:ID50&lt;&gt; ""),ROW(ID2:ID50))</f>
        <v>#N/A</v>
      </c>
      <c r="IE54" s="31"/>
      <c r="IF54" s="31"/>
    </row>
    <row r="55" spans="1:240" hidden="1">
      <c r="A55" s="215" t="s">
        <v>96</v>
      </c>
      <c r="B55" s="68">
        <f>SUM(B56:B59)</f>
        <v>0</v>
      </c>
      <c r="C55" s="213"/>
      <c r="D55" s="215" t="s">
        <v>101</v>
      </c>
      <c r="E55" s="68">
        <f>SUM(I2:I51)</f>
        <v>0</v>
      </c>
      <c r="F55" s="6"/>
      <c r="G55" s="6" t="e">
        <f ca="1">INDIRECT(A$61&amp;J55)</f>
        <v>#N/A</v>
      </c>
      <c r="H55" s="6"/>
      <c r="I55" s="6"/>
      <c r="J55" s="6" t="e">
        <f ca="1">IF(ISBLANK(INDIRECT(A$61&amp;J54-1)), LOOKUP(2,1 / (J$2:(INDIRECT(A$61&amp;J54-2)) &lt;&gt; ""),ROW(J$2:(INDIRECT(A$61&amp;J54-2)))),LOOKUP(2,1 / (J$2:(INDIRECT(A$61&amp;J54-1)) &lt;&gt; ""),ROW(J$2:(INDIRECT(A$61&amp;J54-1)))))</f>
        <v>#N/A</v>
      </c>
      <c r="K55" s="6"/>
      <c r="L55" s="6"/>
      <c r="M55" s="385" t="s">
        <v>96</v>
      </c>
      <c r="N55" s="380">
        <f>SUM(N56:N59)</f>
        <v>0</v>
      </c>
      <c r="O55" s="380"/>
      <c r="P55" s="385" t="s">
        <v>101</v>
      </c>
      <c r="Q55" s="380">
        <f>SUM(U2:U51)</f>
        <v>0</v>
      </c>
      <c r="R55" s="380"/>
      <c r="S55" s="380" t="e">
        <f ca="1">INDIRECT(M$61&amp;V55)</f>
        <v>#N/A</v>
      </c>
      <c r="T55" s="380"/>
      <c r="U55" s="380"/>
      <c r="V55" s="380" t="e">
        <f ca="1">IF(ISBLANK(INDIRECT(M$61&amp;V54-1)), LOOKUP(2,1 / (V$2:(INDIRECT(M$61&amp;V54-2)) &lt;&gt; ""),ROW(V$2:(INDIRECT(M$61&amp;V54-2)))),LOOKUP(2,1 / (V$2:(INDIRECT(M$61&amp;V54-1)) &lt;&gt; ""),ROW(V$2:(INDIRECT(M$61&amp;V54-1)))))</f>
        <v>#N/A</v>
      </c>
      <c r="W55" s="380"/>
      <c r="X55" s="380"/>
      <c r="Y55" s="421" t="s">
        <v>96</v>
      </c>
      <c r="Z55" s="412">
        <f>SUM(Z56:Z59)</f>
        <v>0</v>
      </c>
      <c r="AA55" s="412"/>
      <c r="AB55" s="421" t="s">
        <v>101</v>
      </c>
      <c r="AC55" s="412">
        <f>SUM(AG2:AG51)</f>
        <v>0</v>
      </c>
      <c r="AD55" s="412"/>
      <c r="AE55" s="412" t="e">
        <f ca="1">INDIRECT(Y$61&amp;AH55)</f>
        <v>#N/A</v>
      </c>
      <c r="AF55" s="412"/>
      <c r="AG55" s="412"/>
      <c r="AH55" s="412" t="e">
        <f ca="1">IF(ISBLANK(INDIRECT(Y$61&amp;AH54-1)), LOOKUP(2,1 / (AH$2:(INDIRECT(Y$61&amp;AH54-2)) &lt;&gt; ""),ROW(AH$2:(INDIRECT(Y$61&amp;AH54-2)))),LOOKUP(2,1 / (AH$2:(INDIRECT(Y$61&amp;AH54-1)) &lt;&gt; ""),ROW(AH$2:(INDIRECT(Y$61&amp;AH54-1)))))</f>
        <v>#N/A</v>
      </c>
      <c r="AI55" s="412"/>
      <c r="AJ55" s="412"/>
      <c r="AK55" s="430" t="s">
        <v>96</v>
      </c>
      <c r="AL55" s="413">
        <f>SUM(AL56:AL59)</f>
        <v>0</v>
      </c>
      <c r="AM55" s="413"/>
      <c r="AN55" s="430" t="s">
        <v>101</v>
      </c>
      <c r="AO55" s="413">
        <f>SUM(AS2:AS51)</f>
        <v>0</v>
      </c>
      <c r="AP55" s="413"/>
      <c r="AQ55" s="413" t="e">
        <f ca="1">INDIRECT(AK$61&amp;AT55)</f>
        <v>#N/A</v>
      </c>
      <c r="AR55" s="413"/>
      <c r="AS55" s="413"/>
      <c r="AT55" s="413" t="e">
        <f ca="1">IF(ISBLANK(INDIRECT(AK$61&amp;AT54-1)), LOOKUP(2,1 / (AT$2:(INDIRECT(AK$61&amp;AT54-2)) &lt;&gt; ""),ROW(AT$2:(INDIRECT(AK$61&amp;AT54-2)))),LOOKUP(2,1 / (AT$2:(INDIRECT(AK$61&amp;AT54-1)) &lt;&gt; ""),ROW(AT$2:(INDIRECT(AK$61&amp;AT54-1)))))</f>
        <v>#N/A</v>
      </c>
      <c r="AU55" s="413"/>
      <c r="AV55" s="413"/>
      <c r="AW55" s="220" t="s">
        <v>96</v>
      </c>
      <c r="AX55" s="9">
        <f>SUM(AX56:AX59)</f>
        <v>0</v>
      </c>
      <c r="AY55" s="9"/>
      <c r="AZ55" s="220" t="s">
        <v>101</v>
      </c>
      <c r="BA55" s="9">
        <f>SUM(BE2:BE51)</f>
        <v>0</v>
      </c>
      <c r="BB55" s="9"/>
      <c r="BC55" s="9" t="e">
        <f ca="1">INDIRECT(AW$61&amp;BF55)</f>
        <v>#N/A</v>
      </c>
      <c r="BD55" s="9"/>
      <c r="BE55" s="9"/>
      <c r="BF55" s="9" t="e">
        <f ca="1">IF(ISBLANK(INDIRECT(AW$61&amp;BF54-1)), LOOKUP(2,1 / (BF$2:(INDIRECT(AW$61&amp;BF54-2)) &lt;&gt; ""),ROW(BF$2:(INDIRECT(AW$61&amp;BF54-2)))),LOOKUP(2,1 / (BF$2:(INDIRECT(AW$61&amp;BF54-1)) &lt;&gt; ""),ROW(BF$2:(INDIRECT(AW$61&amp;BF54-1)))))</f>
        <v>#N/A</v>
      </c>
      <c r="BG55" s="9"/>
      <c r="BH55" s="9"/>
      <c r="BI55" s="439" t="s">
        <v>96</v>
      </c>
      <c r="BJ55" s="414">
        <f>SUM(BJ56:BJ59)</f>
        <v>0</v>
      </c>
      <c r="BK55" s="414"/>
      <c r="BL55" s="439" t="s">
        <v>101</v>
      </c>
      <c r="BM55" s="414">
        <f>SUM(BQ2:BQ51)</f>
        <v>0</v>
      </c>
      <c r="BN55" s="414"/>
      <c r="BO55" s="414" t="e">
        <f ca="1">INDIRECT(BI$61&amp;BR55)</f>
        <v>#N/A</v>
      </c>
      <c r="BP55" s="414"/>
      <c r="BQ55" s="414"/>
      <c r="BR55" s="414" t="e">
        <f ca="1">IF(ISBLANK(INDIRECT(BI$61&amp;BR54-1)), LOOKUP(2,1 / (BR$2:(INDIRECT(BI$61&amp;BR54-2)) &lt;&gt; ""),ROW(BR$2:(INDIRECT(BI$61&amp;BR54-2)))),LOOKUP(2,1 / (BR$2:(INDIRECT(BI$61&amp;BR54-1)) &lt;&gt; ""),ROW(BR$2:(INDIRECT(BI$61&amp;BR54-1)))))</f>
        <v>#N/A</v>
      </c>
      <c r="BS55" s="414"/>
      <c r="BT55" s="414"/>
      <c r="BU55" s="226" t="s">
        <v>96</v>
      </c>
      <c r="BV55" s="13">
        <f>SUM(BV56:BV59)</f>
        <v>0</v>
      </c>
      <c r="BW55" s="13"/>
      <c r="BX55" s="226" t="s">
        <v>101</v>
      </c>
      <c r="BY55" s="13">
        <f>SUM(CC2:CC51)</f>
        <v>0</v>
      </c>
      <c r="BZ55" s="13"/>
      <c r="CA55" s="13" t="e">
        <f ca="1">INDIRECT(BU$61&amp;CD55)</f>
        <v>#N/A</v>
      </c>
      <c r="CB55" s="13"/>
      <c r="CC55" s="13"/>
      <c r="CD55" s="13" t="e">
        <f ca="1">IF(ISBLANK(INDIRECT(BU$61&amp;CD54-1)), LOOKUP(2,1 / (CD$2:(INDIRECT(BU$61&amp;CD54-2)) &lt;&gt; ""),ROW(CD$2:(INDIRECT(BU$61&amp;CD54-2)))),LOOKUP(2,1 / (CD$2:(INDIRECT(BU$61&amp;CD54-1)) &lt;&gt; ""),ROW(CD$2:(INDIRECT(BU$61&amp;CD54-1)))))</f>
        <v>#N/A</v>
      </c>
      <c r="CE55" s="13"/>
      <c r="CF55" s="13"/>
      <c r="CG55" s="397" t="s">
        <v>96</v>
      </c>
      <c r="CH55" s="14">
        <f>SUM(CH56:CH59)</f>
        <v>0</v>
      </c>
      <c r="CI55" s="14"/>
      <c r="CJ55" s="397" t="s">
        <v>101</v>
      </c>
      <c r="CK55" s="14">
        <f>SUM(CO2:CO51)</f>
        <v>0</v>
      </c>
      <c r="CL55" s="14"/>
      <c r="CM55" s="14" t="e">
        <f ca="1">INDIRECT(CG$61&amp;CP55)</f>
        <v>#N/A</v>
      </c>
      <c r="CN55" s="14"/>
      <c r="CO55" s="14"/>
      <c r="CP55" s="14" t="e">
        <f ca="1">IF(ISBLANK(INDIRECT(CG$61&amp;CP54-1)), LOOKUP(2,1 / (CP$2:(INDIRECT(CG$61&amp;CP54-2)) &lt;&gt; ""),ROW(CP$2:(INDIRECT(CG$61&amp;CP54-2)))),LOOKUP(2,1 / (CP$2:(INDIRECT(CG$61&amp;CP54-1)) &lt;&gt; ""),ROW(CP$2:(INDIRECT(CG$61&amp;CP54-1)))))</f>
        <v>#N/A</v>
      </c>
      <c r="CQ55" s="14"/>
      <c r="CR55" s="14"/>
      <c r="CS55" s="234" t="s">
        <v>96</v>
      </c>
      <c r="CT55" s="17">
        <f>SUM(CT56:CT59)</f>
        <v>0</v>
      </c>
      <c r="CU55" s="17"/>
      <c r="CV55" s="234" t="s">
        <v>101</v>
      </c>
      <c r="CW55" s="17">
        <f>SUM(DA2:DA51)</f>
        <v>0</v>
      </c>
      <c r="CX55" s="17"/>
      <c r="CY55" s="17" t="e">
        <f ca="1">INDIRECT(CS$61&amp;DB55)</f>
        <v>#N/A</v>
      </c>
      <c r="CZ55" s="17"/>
      <c r="DA55" s="17"/>
      <c r="DB55" s="17" t="e">
        <f ca="1">IF(ISBLANK(INDIRECT(CS$61&amp;DB54-1)), LOOKUP(2,1 / (DB$2:(INDIRECT(CS$61&amp;DB54-2)) &lt;&gt; ""),ROW(DB$2:(INDIRECT(CS$61&amp;DB54-2)))),LOOKUP(2,1 / (DB$2:(INDIRECT(CS$61&amp;DB54-1)) &lt;&gt; ""),ROW(DB$2:(INDIRECT(CS$61&amp;DB54-1)))))</f>
        <v>#N/A</v>
      </c>
      <c r="DC55" s="17"/>
      <c r="DD55" s="17"/>
      <c r="DE55" s="447" t="s">
        <v>96</v>
      </c>
      <c r="DF55" s="143">
        <f>SUM(DF56:DF59)</f>
        <v>0</v>
      </c>
      <c r="DG55" s="143"/>
      <c r="DH55" s="447" t="s">
        <v>101</v>
      </c>
      <c r="DI55" s="143">
        <f>SUM(DM2:DM51)</f>
        <v>0</v>
      </c>
      <c r="DJ55" s="143"/>
      <c r="DK55" s="143" t="e">
        <f ca="1">INDIRECT(DE$61&amp;DN55)</f>
        <v>#N/A</v>
      </c>
      <c r="DL55" s="143"/>
      <c r="DM55" s="143"/>
      <c r="DN55" s="143" t="e">
        <f ca="1">IF(ISBLANK(INDIRECT(DE$61&amp;DN54-1)), LOOKUP(2,1 / (DN$2:(INDIRECT(DE$61&amp;DN54-2)) &lt;&gt; ""),ROW(DN$2:(INDIRECT(DE$61&amp;DN54-2)))),LOOKUP(2,1 / (DN$2:(INDIRECT(DE$61&amp;DN54-1)) &lt;&gt; ""),ROW(DN$2:(INDIRECT(DE$61&amp;DN54-1)))))</f>
        <v>#N/A</v>
      </c>
      <c r="DO55" s="143"/>
      <c r="DP55" s="143"/>
      <c r="DQ55" s="385" t="s">
        <v>96</v>
      </c>
      <c r="DR55" s="380">
        <f>SUM(DR56:DR59)</f>
        <v>0</v>
      </c>
      <c r="DS55" s="380"/>
      <c r="DT55" s="385" t="s">
        <v>101</v>
      </c>
      <c r="DU55" s="380">
        <f>SUM(DY2:DY51)</f>
        <v>0</v>
      </c>
      <c r="DV55" s="380"/>
      <c r="DW55" s="380" t="e">
        <f ca="1">INDIRECT(DQ$61&amp;DZ55)</f>
        <v>#N/A</v>
      </c>
      <c r="DX55" s="380"/>
      <c r="DY55" s="380"/>
      <c r="DZ55" s="380" t="e">
        <f ca="1">IF(ISBLANK(INDIRECT(DQ$61&amp;DZ54-1)), LOOKUP(2,1 / (DZ$2:(INDIRECT(DQ$61&amp;DZ54-2)) &lt;&gt; ""),ROW(DZ$2:(INDIRECT(DQ$61&amp;DZ54-2)))),LOOKUP(2,1 / (DZ$2:(INDIRECT(DQ$61&amp;DZ54-1)) &lt;&gt; ""),ROW(DZ$2:(INDIRECT(DQ$61&amp;DZ54-1)))))</f>
        <v>#N/A</v>
      </c>
      <c r="EA55" s="380"/>
      <c r="EB55" s="380"/>
      <c r="EC55" s="240" t="s">
        <v>96</v>
      </c>
      <c r="ED55" s="19">
        <f>SUM(ED56:ED59)</f>
        <v>0</v>
      </c>
      <c r="EE55" s="19"/>
      <c r="EF55" s="240" t="s">
        <v>101</v>
      </c>
      <c r="EG55" s="19">
        <f>SUM(EK2:EK51)</f>
        <v>0</v>
      </c>
      <c r="EH55" s="19"/>
      <c r="EI55" s="19" t="e">
        <f ca="1">INDIRECT(EC$61&amp;EL55)</f>
        <v>#N/A</v>
      </c>
      <c r="EJ55" s="19"/>
      <c r="EK55" s="19"/>
      <c r="EL55" s="19" t="e">
        <f ca="1">IF(ISBLANK(INDIRECT(EC$61&amp;EL54-1)), LOOKUP(2,1 / (EL$2:(INDIRECT(EC$61&amp;EL54-2)) &lt;&gt; ""),ROW(EL$2:(INDIRECT(EC$61&amp;EL54-2)))),LOOKUP(2,1 / (EL$2:(INDIRECT(EC$61&amp;EL54-1)) &lt;&gt; ""),ROW(EL$2:(INDIRECT(EC$61&amp;EL54-1)))))</f>
        <v>#N/A</v>
      </c>
      <c r="EM55" s="19"/>
      <c r="EN55" s="19"/>
      <c r="EO55" s="246" t="s">
        <v>96</v>
      </c>
      <c r="EP55" s="21">
        <f>SUM(EP56:EP59)</f>
        <v>0</v>
      </c>
      <c r="EQ55" s="21"/>
      <c r="ER55" s="246" t="s">
        <v>101</v>
      </c>
      <c r="ES55" s="21">
        <f>SUM(EW2:EW51)</f>
        <v>0</v>
      </c>
      <c r="ET55" s="21"/>
      <c r="EU55" s="21" t="e">
        <f ca="1">INDIRECT(EO$61&amp;EX55)</f>
        <v>#N/A</v>
      </c>
      <c r="EV55" s="21"/>
      <c r="EW55" s="21"/>
      <c r="EX55" s="21" t="e">
        <f ca="1">IF(ISBLANK(INDIRECT(EO$61&amp;EX54-1)), LOOKUP(2,1 / (EX$2:(INDIRECT(EO$61&amp;EX54-2)) &lt;&gt; ""),ROW(EX$2:(INDIRECT(EO$61&amp;EX54-2)))),LOOKUP(2,1 / (EX$2:(INDIRECT(EO$61&amp;EX54-1)) &lt;&gt; ""),ROW(EX$2:(INDIRECT(EO$61&amp;EX54-1)))))</f>
        <v>#N/A</v>
      </c>
      <c r="EY55" s="21"/>
      <c r="EZ55" s="21"/>
      <c r="FA55" s="254" t="s">
        <v>96</v>
      </c>
      <c r="FB55" s="23">
        <f>SUM(FB56:FB59)</f>
        <v>0</v>
      </c>
      <c r="FC55" s="23"/>
      <c r="FD55" s="254" t="s">
        <v>101</v>
      </c>
      <c r="FE55" s="23">
        <f>SUM(FI2:FI51)</f>
        <v>0</v>
      </c>
      <c r="FF55" s="23"/>
      <c r="FG55" s="23" t="e">
        <f ca="1">INDIRECT(FA$61&amp;FJ55)</f>
        <v>#N/A</v>
      </c>
      <c r="FH55" s="23"/>
      <c r="FI55" s="23"/>
      <c r="FJ55" s="23" t="e">
        <f ca="1">IF(ISBLANK(INDIRECT(FA$61&amp;FJ54-1)), LOOKUP(2,1 / (FJ$2:(INDIRECT(FA$61&amp;FJ54-2)) &lt;&gt; ""),ROW(FJ$2:(INDIRECT(FA$61&amp;FJ54-2)))),LOOKUP(2,1 / (FJ$2:(INDIRECT(FA$61&amp;FJ54-1)) &lt;&gt; ""),ROW(FJ$2:(INDIRECT(FA$61&amp;FJ54-1)))))</f>
        <v>#N/A</v>
      </c>
      <c r="FK55" s="23"/>
      <c r="FL55" s="23"/>
      <c r="FM55" s="260" t="s">
        <v>96</v>
      </c>
      <c r="FN55" s="25">
        <f>SUM(FN56:FN59)</f>
        <v>0</v>
      </c>
      <c r="FO55" s="25"/>
      <c r="FP55" s="260" t="s">
        <v>101</v>
      </c>
      <c r="FQ55" s="25">
        <f>SUM(FU2:FU51)</f>
        <v>0</v>
      </c>
      <c r="FR55" s="25"/>
      <c r="FS55" s="25" t="e">
        <f ca="1">INDIRECT(FM$61&amp;FV55)</f>
        <v>#N/A</v>
      </c>
      <c r="FT55" s="25"/>
      <c r="FU55" s="25"/>
      <c r="FV55" s="25" t="e">
        <f ca="1">IF(ISBLANK(INDIRECT(FM$61&amp;FV54-1)), LOOKUP(2,1 / (FV$2:(INDIRECT(FM$61&amp;FV54-2)) &lt;&gt; ""),ROW(FV$2:(INDIRECT(FM$61&amp;FV54-2)))),LOOKUP(2,1 / (FV$2:(INDIRECT(FM$61&amp;FV54-1)) &lt;&gt; ""),ROW(FV$2:(INDIRECT(FM$61&amp;FV54-1)))))</f>
        <v>#N/A</v>
      </c>
      <c r="FW55" s="25"/>
      <c r="FX55" s="25"/>
      <c r="FY55" s="405" t="s">
        <v>96</v>
      </c>
      <c r="FZ55" s="390">
        <f>SUM(FZ56:FZ59)</f>
        <v>0</v>
      </c>
      <c r="GA55" s="390"/>
      <c r="GB55" s="405" t="s">
        <v>101</v>
      </c>
      <c r="GC55" s="390">
        <f>SUM(GG2:GG51)</f>
        <v>0</v>
      </c>
      <c r="GD55" s="390"/>
      <c r="GE55" s="390" t="e">
        <f ca="1">INDIRECT(FY$61&amp;GH55)</f>
        <v>#N/A</v>
      </c>
      <c r="GF55" s="390"/>
      <c r="GG55" s="390"/>
      <c r="GH55" s="390" t="e">
        <f ca="1">IF(ISBLANK(INDIRECT(FY$61&amp;GH54-1)), LOOKUP(2,1 / (GH$2:(INDIRECT(FY$61&amp;GH54-2)) &lt;&gt; ""),ROW(GH$2:(INDIRECT(FY$61&amp;GH54-2)))),LOOKUP(2,1 / (GH$2:(INDIRECT(FY$61&amp;GH54-1)) &lt;&gt; ""),ROW(GH$2:(INDIRECT(FY$61&amp;GH54-1)))))</f>
        <v>#N/A</v>
      </c>
      <c r="GI55" s="390"/>
      <c r="GJ55" s="390"/>
      <c r="GK55" s="267" t="s">
        <v>96</v>
      </c>
      <c r="GL55" s="27">
        <f>SUM(GL56:GL59)</f>
        <v>0</v>
      </c>
      <c r="GM55" s="27"/>
      <c r="GN55" s="267" t="s">
        <v>101</v>
      </c>
      <c r="GO55" s="27">
        <f>SUM(GS2:GS51)</f>
        <v>0</v>
      </c>
      <c r="GP55" s="27"/>
      <c r="GQ55" s="27" t="e">
        <f ca="1">INDIRECT(GK$61&amp;GT55)</f>
        <v>#N/A</v>
      </c>
      <c r="GR55" s="27"/>
      <c r="GS55" s="27"/>
      <c r="GT55" s="27" t="e">
        <f ca="1">IF(ISBLANK(INDIRECT(GK$61&amp;GT54-1)), LOOKUP(2,1 / (GT$2:(INDIRECT(GK$61&amp;GT54-2)) &lt;&gt; ""),ROW(GT$2:(INDIRECT(GK$61&amp;GT54-2)))),LOOKUP(2,1 / (GT$2:(INDIRECT(GK$61&amp;GT54-1)) &lt;&gt; ""),ROW(GT$2:(INDIRECT(GK$61&amp;GT54-1)))))</f>
        <v>#N/A</v>
      </c>
      <c r="GU55" s="27"/>
      <c r="GV55" s="27"/>
      <c r="GW55" s="385" t="s">
        <v>96</v>
      </c>
      <c r="GX55" s="380">
        <f>SUM(GX56:GX59)</f>
        <v>0</v>
      </c>
      <c r="GY55" s="380"/>
      <c r="GZ55" s="385" t="s">
        <v>101</v>
      </c>
      <c r="HA55" s="380">
        <f>SUM(HE2:HE51)</f>
        <v>0</v>
      </c>
      <c r="HB55" s="380"/>
      <c r="HC55" s="380" t="e">
        <f ca="1">INDIRECT(GW$61&amp;HF55)</f>
        <v>#N/A</v>
      </c>
      <c r="HD55" s="380"/>
      <c r="HE55" s="380"/>
      <c r="HF55" s="380" t="e">
        <f ca="1">IF(ISBLANK(INDIRECT(GW$61&amp;HF54-1)), LOOKUP(2,1 / (HF$2:(INDIRECT(GW$61&amp;HF54-2)) &lt;&gt; ""),ROW(HF$2:(INDIRECT(GW$61&amp;HF54-2)))),LOOKUP(2,1 / (HF$2:(INDIRECT(GW$61&amp;HF54-1)) &lt;&gt; ""),ROW(HF$2:(INDIRECT(GW$61&amp;HF54-1)))))</f>
        <v>#N/A</v>
      </c>
      <c r="HG55" s="380"/>
      <c r="HH55" s="380"/>
      <c r="HI55" s="273" t="s">
        <v>96</v>
      </c>
      <c r="HJ55" s="29">
        <f>SUM(HJ56:HJ59)</f>
        <v>0</v>
      </c>
      <c r="HK55" s="29"/>
      <c r="HL55" s="273" t="s">
        <v>101</v>
      </c>
      <c r="HM55" s="29">
        <f>SUM(HQ2:HQ51)</f>
        <v>0</v>
      </c>
      <c r="HN55" s="29"/>
      <c r="HO55" s="29" t="e">
        <f ca="1">INDIRECT(HI$61&amp;HR55)</f>
        <v>#N/A</v>
      </c>
      <c r="HP55" s="29"/>
      <c r="HQ55" s="29"/>
      <c r="HR55" s="29" t="e">
        <f ca="1">IF(ISBLANK(INDIRECT(HI$61&amp;HR54-1)), LOOKUP(2,1 / (HR$2:(INDIRECT(HI$61&amp;HR54-2)) &lt;&gt; ""),ROW(HR$2:(INDIRECT(HI$61&amp;HR54-2)))),LOOKUP(2,1 / (HR$2:(INDIRECT(HI$61&amp;HR54-1)) &lt;&gt; ""),ROW(HR$2:(INDIRECT(HI$61&amp;HR54-1)))))</f>
        <v>#N/A</v>
      </c>
      <c r="HS55" s="29"/>
      <c r="HT55" s="29"/>
      <c r="HU55" s="279" t="s">
        <v>96</v>
      </c>
      <c r="HV55" s="31">
        <f>SUM(HV56:HV59)</f>
        <v>0</v>
      </c>
      <c r="HW55" s="31"/>
      <c r="HX55" s="279" t="s">
        <v>101</v>
      </c>
      <c r="HY55" s="31">
        <f>SUM(IC2:IC51)</f>
        <v>0</v>
      </c>
      <c r="HZ55" s="31"/>
      <c r="IA55" s="31" t="e">
        <f ca="1">INDIRECT(HU$61&amp;ID55)</f>
        <v>#N/A</v>
      </c>
      <c r="IB55" s="31"/>
      <c r="IC55" s="31"/>
      <c r="ID55" s="31" t="e">
        <f ca="1">IF(ISBLANK(INDIRECT(HU$61&amp;ID54-1)), LOOKUP(2,1 / (ID$2:(INDIRECT(HU$61&amp;ID54-2)) &lt;&gt; ""),ROW(ID$2:(INDIRECT(HU$61&amp;ID54-2)))),LOOKUP(2,1 / (ID$2:(INDIRECT(HU$61&amp;ID54-1)) &lt;&gt; ""),ROW(ID$2:(INDIRECT(HU$61&amp;ID54-1)))))</f>
        <v>#N/A</v>
      </c>
      <c r="IE55" s="31"/>
      <c r="IF55" s="31"/>
    </row>
    <row r="56" spans="1:240" hidden="1">
      <c r="A56" s="215" t="s">
        <v>173</v>
      </c>
      <c r="B56" s="68">
        <f>COUNTIF(J2:J51,"W")</f>
        <v>0</v>
      </c>
      <c r="C56" s="302"/>
      <c r="D56" s="215" t="s">
        <v>102</v>
      </c>
      <c r="E56" s="305">
        <f>E54 - E55</f>
        <v>0</v>
      </c>
      <c r="F56" s="6"/>
      <c r="G56" s="6" t="e">
        <f ca="1">INDIRECT(A$61&amp;J56)</f>
        <v>#N/A</v>
      </c>
      <c r="H56" s="6"/>
      <c r="I56" s="6"/>
      <c r="J56" s="6" t="e">
        <f ca="1">IF(ISBLANK(INDIRECT(A$61&amp;J55-1)), LOOKUP(2,1 / (J$2:(INDIRECT(A$61&amp;J55-2)) &lt;&gt; ""),ROW(J$2:(INDIRECT(A$61&amp;J55-2)))),LOOKUP(2,1 / (J$2:(INDIRECT(A$61&amp;J55-1)) &lt;&gt; ""),ROW(J$2:(INDIRECT(A$61&amp;J55-1)))))</f>
        <v>#N/A</v>
      </c>
      <c r="K56" s="6"/>
      <c r="L56" s="6"/>
      <c r="M56" s="385" t="s">
        <v>173</v>
      </c>
      <c r="N56" s="380">
        <f>COUNTIF(V2:V51,"W")</f>
        <v>0</v>
      </c>
      <c r="O56" s="380"/>
      <c r="P56" s="385" t="s">
        <v>102</v>
      </c>
      <c r="Q56" s="380">
        <f>Q54 - Q55</f>
        <v>0</v>
      </c>
      <c r="R56" s="380"/>
      <c r="S56" s="380" t="e">
        <f ca="1">INDIRECT(M$61&amp;V56)</f>
        <v>#N/A</v>
      </c>
      <c r="T56" s="380"/>
      <c r="U56" s="380"/>
      <c r="V56" s="380" t="e">
        <f ca="1">IF(ISBLANK(INDIRECT(M$61&amp;V55-1)), LOOKUP(2,1 / (V$2:(INDIRECT(M$61&amp;V55-2)) &lt;&gt; ""),ROW(V$2:(INDIRECT(M$61&amp;V55-2)))),LOOKUP(2,1 / (V$2:(INDIRECT(M$61&amp;V55-1)) &lt;&gt; ""),ROW(V$2:(INDIRECT(M$61&amp;V55-1)))))</f>
        <v>#N/A</v>
      </c>
      <c r="W56" s="380"/>
      <c r="X56" s="380"/>
      <c r="Y56" s="421" t="s">
        <v>173</v>
      </c>
      <c r="Z56" s="412">
        <f>COUNTIF(AH2:AH51,"W")</f>
        <v>0</v>
      </c>
      <c r="AA56" s="424"/>
      <c r="AB56" s="421" t="s">
        <v>102</v>
      </c>
      <c r="AC56" s="412">
        <f>AC54 - AC55</f>
        <v>0</v>
      </c>
      <c r="AD56" s="412"/>
      <c r="AE56" s="412" t="e">
        <f ca="1">INDIRECT(Y$61&amp;AH56)</f>
        <v>#N/A</v>
      </c>
      <c r="AF56" s="412"/>
      <c r="AG56" s="412"/>
      <c r="AH56" s="412" t="e">
        <f ca="1">IF(ISBLANK(INDIRECT(Y$61&amp;AH55-1)), LOOKUP(2,1 / (AH$2:(INDIRECT(Y$61&amp;AH55-2)) &lt;&gt; ""),ROW(AH$2:(INDIRECT(Y$61&amp;AH55-2)))),LOOKUP(2,1 / (AH$2:(INDIRECT(Y$61&amp;AH55-1)) &lt;&gt; ""),ROW(AH$2:(INDIRECT(Y$61&amp;AH55-1)))))</f>
        <v>#N/A</v>
      </c>
      <c r="AI56" s="412"/>
      <c r="AJ56" s="412"/>
      <c r="AK56" s="430" t="s">
        <v>173</v>
      </c>
      <c r="AL56" s="413">
        <f>COUNTIF(AT2:AT51,"W")</f>
        <v>0</v>
      </c>
      <c r="AM56" s="433"/>
      <c r="AN56" s="430" t="s">
        <v>102</v>
      </c>
      <c r="AO56" s="413">
        <f>AO54 - AO55</f>
        <v>0</v>
      </c>
      <c r="AP56" s="413"/>
      <c r="AQ56" s="413" t="e">
        <f ca="1">INDIRECT(AK$61&amp;AT56)</f>
        <v>#N/A</v>
      </c>
      <c r="AR56" s="413"/>
      <c r="AS56" s="413"/>
      <c r="AT56" s="413" t="e">
        <f ca="1">IF(ISBLANK(INDIRECT(AK$61&amp;AT55-1)), LOOKUP(2,1 / (AT$2:(INDIRECT(AK$61&amp;AT55-2)) &lt;&gt; ""),ROW(AT$2:(INDIRECT(AK$61&amp;AT55-2)))),LOOKUP(2,1 / (AT$2:(INDIRECT(AK$61&amp;AT55-1)) &lt;&gt; ""),ROW(AT$2:(INDIRECT(AK$61&amp;AT55-1)))))</f>
        <v>#N/A</v>
      </c>
      <c r="AU56" s="413"/>
      <c r="AV56" s="413"/>
      <c r="AW56" s="220" t="s">
        <v>173</v>
      </c>
      <c r="AX56" s="9">
        <f>COUNTIF(BF2:BF51,"W")</f>
        <v>0</v>
      </c>
      <c r="AY56" s="222"/>
      <c r="AZ56" s="220" t="s">
        <v>102</v>
      </c>
      <c r="BA56" s="9">
        <f>BA54 - BA55</f>
        <v>0</v>
      </c>
      <c r="BB56" s="9"/>
      <c r="BC56" s="9" t="e">
        <f ca="1">INDIRECT(AW$61&amp;BF56)</f>
        <v>#N/A</v>
      </c>
      <c r="BD56" s="9"/>
      <c r="BE56" s="9"/>
      <c r="BF56" s="9" t="e">
        <f ca="1">IF(ISBLANK(INDIRECT(AW$61&amp;BF55-1)), LOOKUP(2,1 / (BF$2:(INDIRECT(AW$61&amp;BF55-2)) &lt;&gt; ""),ROW(BF$2:(INDIRECT(AW$61&amp;BF55-2)))),LOOKUP(2,1 / (BF$2:(INDIRECT(AW$61&amp;BF55-1)) &lt;&gt; ""),ROW(BF$2:(INDIRECT(AW$61&amp;BF55-1)))))</f>
        <v>#N/A</v>
      </c>
      <c r="BG56" s="9"/>
      <c r="BH56" s="9"/>
      <c r="BI56" s="439" t="s">
        <v>173</v>
      </c>
      <c r="BJ56" s="414">
        <f>COUNTIF(BR2:BR51,"W")</f>
        <v>0</v>
      </c>
      <c r="BK56" s="442"/>
      <c r="BL56" s="439" t="s">
        <v>102</v>
      </c>
      <c r="BM56" s="414">
        <f>BM54 - BM55</f>
        <v>0</v>
      </c>
      <c r="BN56" s="414"/>
      <c r="BO56" s="414" t="e">
        <f ca="1">INDIRECT(BI$61&amp;BR56)</f>
        <v>#N/A</v>
      </c>
      <c r="BP56" s="414"/>
      <c r="BQ56" s="414"/>
      <c r="BR56" s="414" t="e">
        <f ca="1">IF(ISBLANK(INDIRECT(BI$61&amp;BR55-1)), LOOKUP(2,1 / (BR$2:(INDIRECT(BI$61&amp;BR55-2)) &lt;&gt; ""),ROW(BR$2:(INDIRECT(BI$61&amp;BR55-2)))),LOOKUP(2,1 / (BR$2:(INDIRECT(BI$61&amp;BR55-1)) &lt;&gt; ""),ROW(BR$2:(INDIRECT(BI$61&amp;BR55-1)))))</f>
        <v>#N/A</v>
      </c>
      <c r="BS56" s="414"/>
      <c r="BT56" s="414"/>
      <c r="BU56" s="226" t="s">
        <v>173</v>
      </c>
      <c r="BV56" s="13">
        <f>COUNTIF(CD2:CD51,"W")</f>
        <v>0</v>
      </c>
      <c r="BW56" s="228"/>
      <c r="BX56" s="226" t="s">
        <v>102</v>
      </c>
      <c r="BY56" s="13">
        <f>BY54 - BY55</f>
        <v>0</v>
      </c>
      <c r="BZ56" s="13"/>
      <c r="CA56" s="13" t="e">
        <f ca="1">INDIRECT(BU$61&amp;CD56)</f>
        <v>#N/A</v>
      </c>
      <c r="CB56" s="13"/>
      <c r="CC56" s="13"/>
      <c r="CD56" s="13" t="e">
        <f ca="1">IF(ISBLANK(INDIRECT(BU$61&amp;CD55-1)), LOOKUP(2,1 / (CD$2:(INDIRECT(BU$61&amp;CD55-2)) &lt;&gt; ""),ROW(CD$2:(INDIRECT(BU$61&amp;CD55-2)))),LOOKUP(2,1 / (CD$2:(INDIRECT(BU$61&amp;CD55-1)) &lt;&gt; ""),ROW(CD$2:(INDIRECT(BU$61&amp;CD55-1)))))</f>
        <v>#N/A</v>
      </c>
      <c r="CE56" s="13"/>
      <c r="CF56" s="13"/>
      <c r="CG56" s="397" t="s">
        <v>173</v>
      </c>
      <c r="CH56" s="14">
        <f>COUNTIF(CP2:CP51,"W")</f>
        <v>0</v>
      </c>
      <c r="CI56" s="400"/>
      <c r="CJ56" s="397" t="s">
        <v>102</v>
      </c>
      <c r="CK56" s="14">
        <f>CK54 - CK55</f>
        <v>0</v>
      </c>
      <c r="CL56" s="14"/>
      <c r="CM56" s="14" t="e">
        <f ca="1">INDIRECT(CG$61&amp;CP56)</f>
        <v>#N/A</v>
      </c>
      <c r="CN56" s="14"/>
      <c r="CO56" s="14"/>
      <c r="CP56" s="14" t="e">
        <f ca="1">IF(ISBLANK(INDIRECT(CG$61&amp;CP55-1)), LOOKUP(2,1 / (CP$2:(INDIRECT(CG$61&amp;CP55-2)) &lt;&gt; ""),ROW(CP$2:(INDIRECT(CG$61&amp;CP55-2)))),LOOKUP(2,1 / (CP$2:(INDIRECT(CG$61&amp;CP55-1)) &lt;&gt; ""),ROW(CP$2:(INDIRECT(CG$61&amp;CP55-1)))))</f>
        <v>#N/A</v>
      </c>
      <c r="CQ56" s="14"/>
      <c r="CR56" s="14"/>
      <c r="CS56" s="234" t="s">
        <v>173</v>
      </c>
      <c r="CT56" s="17">
        <f>COUNTIF(DB2:DB51,"W")</f>
        <v>0</v>
      </c>
      <c r="CU56" s="236"/>
      <c r="CV56" s="234" t="s">
        <v>102</v>
      </c>
      <c r="CW56" s="17">
        <f>CW54 - CW55</f>
        <v>0</v>
      </c>
      <c r="CX56" s="17"/>
      <c r="CY56" s="17" t="e">
        <f ca="1">INDIRECT(CS$61&amp;DB56)</f>
        <v>#N/A</v>
      </c>
      <c r="CZ56" s="17"/>
      <c r="DA56" s="17"/>
      <c r="DB56" s="17" t="e">
        <f ca="1">IF(ISBLANK(INDIRECT(CS$61&amp;DB55-1)), LOOKUP(2,1 / (DB$2:(INDIRECT(CS$61&amp;DB55-2)) &lt;&gt; ""),ROW(DB$2:(INDIRECT(CS$61&amp;DB55-2)))),LOOKUP(2,1 / (DB$2:(INDIRECT(CS$61&amp;DB55-1)) &lt;&gt; ""),ROW(DB$2:(INDIRECT(CS$61&amp;DB55-1)))))</f>
        <v>#N/A</v>
      </c>
      <c r="DC56" s="17"/>
      <c r="DD56" s="17"/>
      <c r="DE56" s="447" t="s">
        <v>173</v>
      </c>
      <c r="DF56" s="143">
        <f>COUNTIF(DN2:DN51,"W")</f>
        <v>0</v>
      </c>
      <c r="DG56" s="450"/>
      <c r="DH56" s="447" t="s">
        <v>102</v>
      </c>
      <c r="DI56" s="143">
        <f>DI54 - DI55</f>
        <v>0</v>
      </c>
      <c r="DJ56" s="143"/>
      <c r="DK56" s="143" t="e">
        <f ca="1">INDIRECT(DE$61&amp;DN56)</f>
        <v>#N/A</v>
      </c>
      <c r="DL56" s="143"/>
      <c r="DM56" s="143"/>
      <c r="DN56" s="143" t="e">
        <f ca="1">IF(ISBLANK(INDIRECT(DE$61&amp;DN55-1)), LOOKUP(2,1 / (DN$2:(INDIRECT(DE$61&amp;DN55-2)) &lt;&gt; ""),ROW(DN$2:(INDIRECT(DE$61&amp;DN55-2)))),LOOKUP(2,1 / (DN$2:(INDIRECT(DE$61&amp;DN55-1)) &lt;&gt; ""),ROW(DN$2:(INDIRECT(DE$61&amp;DN55-1)))))</f>
        <v>#N/A</v>
      </c>
      <c r="DO56" s="143"/>
      <c r="DP56" s="143"/>
      <c r="DQ56" s="385" t="s">
        <v>173</v>
      </c>
      <c r="DR56" s="380">
        <f>COUNTIF(DZ2:DZ51,"W")</f>
        <v>0</v>
      </c>
      <c r="DS56" s="388"/>
      <c r="DT56" s="385" t="s">
        <v>102</v>
      </c>
      <c r="DU56" s="380">
        <f>DU54 - DU55</f>
        <v>0</v>
      </c>
      <c r="DV56" s="380"/>
      <c r="DW56" s="380" t="e">
        <f ca="1">INDIRECT(DQ$61&amp;DZ56)</f>
        <v>#N/A</v>
      </c>
      <c r="DX56" s="380"/>
      <c r="DY56" s="380"/>
      <c r="DZ56" s="380" t="e">
        <f ca="1">IF(ISBLANK(INDIRECT(DQ$61&amp;DZ55-1)), LOOKUP(2,1 / (DZ$2:(INDIRECT(DQ$61&amp;DZ55-2)) &lt;&gt; ""),ROW(DZ$2:(INDIRECT(DQ$61&amp;DZ55-2)))),LOOKUP(2,1 / (DZ$2:(INDIRECT(DQ$61&amp;DZ55-1)) &lt;&gt; ""),ROW(DZ$2:(INDIRECT(DQ$61&amp;DZ55-1)))))</f>
        <v>#N/A</v>
      </c>
      <c r="EA56" s="380"/>
      <c r="EB56" s="380"/>
      <c r="EC56" s="240" t="s">
        <v>173</v>
      </c>
      <c r="ED56" s="19">
        <f>COUNTIF(EL2:EL51,"W")</f>
        <v>0</v>
      </c>
      <c r="EE56" s="242"/>
      <c r="EF56" s="240" t="s">
        <v>102</v>
      </c>
      <c r="EG56" s="19">
        <f>EG54 - EG55</f>
        <v>0</v>
      </c>
      <c r="EH56" s="19"/>
      <c r="EI56" s="19" t="e">
        <f ca="1">INDIRECT(EC$61&amp;EL56)</f>
        <v>#N/A</v>
      </c>
      <c r="EJ56" s="19"/>
      <c r="EK56" s="19"/>
      <c r="EL56" s="19" t="e">
        <f ca="1">IF(ISBLANK(INDIRECT(EC$61&amp;EL55-1)), LOOKUP(2,1 / (EL$2:(INDIRECT(EC$61&amp;EL55-2)) &lt;&gt; ""),ROW(EL$2:(INDIRECT(EC$61&amp;EL55-2)))),LOOKUP(2,1 / (EL$2:(INDIRECT(EC$61&amp;EL55-1)) &lt;&gt; ""),ROW(EL$2:(INDIRECT(EC$61&amp;EL55-1)))))</f>
        <v>#N/A</v>
      </c>
      <c r="EM56" s="19"/>
      <c r="EN56" s="19"/>
      <c r="EO56" s="246" t="s">
        <v>173</v>
      </c>
      <c r="EP56" s="21">
        <f>COUNTIF(EX2:EX51,"W")</f>
        <v>0</v>
      </c>
      <c r="EQ56" s="248"/>
      <c r="ER56" s="246" t="s">
        <v>102</v>
      </c>
      <c r="ES56" s="21">
        <f>ES54 - ES55</f>
        <v>0</v>
      </c>
      <c r="ET56" s="21"/>
      <c r="EU56" s="21" t="e">
        <f ca="1">INDIRECT(EO$61&amp;EX56)</f>
        <v>#N/A</v>
      </c>
      <c r="EV56" s="21"/>
      <c r="EW56" s="21"/>
      <c r="EX56" s="21" t="e">
        <f ca="1">IF(ISBLANK(INDIRECT(EO$61&amp;EX55-1)), LOOKUP(2,1 / (EX$2:(INDIRECT(EO$61&amp;EX55-2)) &lt;&gt; ""),ROW(EX$2:(INDIRECT(EO$61&amp;EX55-2)))),LOOKUP(2,1 / (EX$2:(INDIRECT(EO$61&amp;EX55-1)) &lt;&gt; ""),ROW(EX$2:(INDIRECT(EO$61&amp;EX55-1)))))</f>
        <v>#N/A</v>
      </c>
      <c r="EY56" s="21"/>
      <c r="EZ56" s="21"/>
      <c r="FA56" s="254" t="s">
        <v>173</v>
      </c>
      <c r="FB56" s="23">
        <f>COUNTIF(FJ2:FJ51,"W")</f>
        <v>0</v>
      </c>
      <c r="FC56" s="256"/>
      <c r="FD56" s="254" t="s">
        <v>102</v>
      </c>
      <c r="FE56" s="23">
        <f>FE54 - FE55</f>
        <v>0</v>
      </c>
      <c r="FF56" s="23"/>
      <c r="FG56" s="23" t="e">
        <f ca="1">INDIRECT(FA$61&amp;FJ56)</f>
        <v>#N/A</v>
      </c>
      <c r="FH56" s="23"/>
      <c r="FI56" s="23"/>
      <c r="FJ56" s="23" t="e">
        <f ca="1">IF(ISBLANK(INDIRECT(FA$61&amp;FJ55-1)), LOOKUP(2,1 / (FJ$2:(INDIRECT(FA$61&amp;FJ55-2)) &lt;&gt; ""),ROW(FJ$2:(INDIRECT(FA$61&amp;FJ55-2)))),LOOKUP(2,1 / (FJ$2:(INDIRECT(FA$61&amp;FJ55-1)) &lt;&gt; ""),ROW(FJ$2:(INDIRECT(FA$61&amp;FJ55-1)))))</f>
        <v>#N/A</v>
      </c>
      <c r="FK56" s="23"/>
      <c r="FL56" s="23"/>
      <c r="FM56" s="260" t="s">
        <v>173</v>
      </c>
      <c r="FN56" s="25">
        <f>COUNTIF(FV2:FV51,"W")</f>
        <v>0</v>
      </c>
      <c r="FO56" s="262"/>
      <c r="FP56" s="260" t="s">
        <v>102</v>
      </c>
      <c r="FQ56" s="25">
        <f>FQ54 - FQ55</f>
        <v>0</v>
      </c>
      <c r="FR56" s="25"/>
      <c r="FS56" s="25" t="e">
        <f ca="1">INDIRECT(FM$61&amp;FV56)</f>
        <v>#N/A</v>
      </c>
      <c r="FT56" s="25"/>
      <c r="FU56" s="25"/>
      <c r="FV56" s="25" t="e">
        <f ca="1">IF(ISBLANK(INDIRECT(FM$61&amp;FV55-1)), LOOKUP(2,1 / (FV$2:(INDIRECT(FM$61&amp;FV55-2)) &lt;&gt; ""),ROW(FV$2:(INDIRECT(FM$61&amp;FV55-2)))),LOOKUP(2,1 / (FV$2:(INDIRECT(FM$61&amp;FV55-1)) &lt;&gt; ""),ROW(FV$2:(INDIRECT(FM$61&amp;FV55-1)))))</f>
        <v>#N/A</v>
      </c>
      <c r="FW56" s="25"/>
      <c r="FX56" s="25"/>
      <c r="FY56" s="405" t="s">
        <v>173</v>
      </c>
      <c r="FZ56" s="390">
        <f>COUNTIF(GH2:GH51,"W")</f>
        <v>0</v>
      </c>
      <c r="GA56" s="408"/>
      <c r="GB56" s="405" t="s">
        <v>102</v>
      </c>
      <c r="GC56" s="390">
        <f>GC54 - GC55</f>
        <v>0</v>
      </c>
      <c r="GD56" s="390"/>
      <c r="GE56" s="390" t="e">
        <f ca="1">INDIRECT(FY$61&amp;GH56)</f>
        <v>#N/A</v>
      </c>
      <c r="GF56" s="390"/>
      <c r="GG56" s="390"/>
      <c r="GH56" s="390" t="e">
        <f ca="1">IF(ISBLANK(INDIRECT(FY$61&amp;GH55-1)), LOOKUP(2,1 / (GH$2:(INDIRECT(FY$61&amp;GH55-2)) &lt;&gt; ""),ROW(GH$2:(INDIRECT(FY$61&amp;GH55-2)))),LOOKUP(2,1 / (GH$2:(INDIRECT(FY$61&amp;GH55-1)) &lt;&gt; ""),ROW(GH$2:(INDIRECT(FY$61&amp;GH55-1)))))</f>
        <v>#N/A</v>
      </c>
      <c r="GI56" s="390"/>
      <c r="GJ56" s="390"/>
      <c r="GK56" s="267" t="s">
        <v>173</v>
      </c>
      <c r="GL56" s="27">
        <f>COUNTIF(GT2:GT51,"W")</f>
        <v>0</v>
      </c>
      <c r="GM56" s="269"/>
      <c r="GN56" s="267" t="s">
        <v>102</v>
      </c>
      <c r="GO56" s="27">
        <f>GO54 - GO55</f>
        <v>0</v>
      </c>
      <c r="GP56" s="27"/>
      <c r="GQ56" s="27" t="e">
        <f ca="1">INDIRECT(GK$61&amp;GT56)</f>
        <v>#N/A</v>
      </c>
      <c r="GR56" s="27"/>
      <c r="GS56" s="27"/>
      <c r="GT56" s="27" t="e">
        <f ca="1">IF(ISBLANK(INDIRECT(GK$61&amp;GT55-1)), LOOKUP(2,1 / (GT$2:(INDIRECT(GK$61&amp;GT55-2)) &lt;&gt; ""),ROW(GT$2:(INDIRECT(GK$61&amp;GT55-2)))),LOOKUP(2,1 / (GT$2:(INDIRECT(GK$61&amp;GT55-1)) &lt;&gt; ""),ROW(GT$2:(INDIRECT(GK$61&amp;GT55-1)))))</f>
        <v>#N/A</v>
      </c>
      <c r="GU56" s="27"/>
      <c r="GV56" s="27"/>
      <c r="GW56" s="385" t="s">
        <v>173</v>
      </c>
      <c r="GX56" s="380">
        <f>COUNTIF(HF2:HF51,"W")</f>
        <v>0</v>
      </c>
      <c r="GY56" s="388"/>
      <c r="GZ56" s="385" t="s">
        <v>102</v>
      </c>
      <c r="HA56" s="380">
        <f>HA54 - HA55</f>
        <v>0</v>
      </c>
      <c r="HB56" s="380"/>
      <c r="HC56" s="380" t="e">
        <f ca="1">INDIRECT(GW$61&amp;HF56)</f>
        <v>#N/A</v>
      </c>
      <c r="HD56" s="380"/>
      <c r="HE56" s="380"/>
      <c r="HF56" s="380" t="e">
        <f ca="1">IF(ISBLANK(INDIRECT(GW$61&amp;HF55-1)), LOOKUP(2,1 / (HF$2:(INDIRECT(GW$61&amp;HF55-2)) &lt;&gt; ""),ROW(HF$2:(INDIRECT(GW$61&amp;HF55-2)))),LOOKUP(2,1 / (HF$2:(INDIRECT(GW$61&amp;HF55-1)) &lt;&gt; ""),ROW(HF$2:(INDIRECT(GW$61&amp;HF55-1)))))</f>
        <v>#N/A</v>
      </c>
      <c r="HG56" s="380"/>
      <c r="HH56" s="380"/>
      <c r="HI56" s="273" t="s">
        <v>173</v>
      </c>
      <c r="HJ56" s="29">
        <f>COUNTIF(HR2:HR51,"W")</f>
        <v>0</v>
      </c>
      <c r="HK56" s="275"/>
      <c r="HL56" s="273" t="s">
        <v>102</v>
      </c>
      <c r="HM56" s="29">
        <f>HM54 - HM55</f>
        <v>0</v>
      </c>
      <c r="HN56" s="29"/>
      <c r="HO56" s="29" t="e">
        <f ca="1">INDIRECT(HI$61&amp;HR56)</f>
        <v>#N/A</v>
      </c>
      <c r="HP56" s="29"/>
      <c r="HQ56" s="29"/>
      <c r="HR56" s="29" t="e">
        <f ca="1">IF(ISBLANK(INDIRECT(HI$61&amp;HR55-1)), LOOKUP(2,1 / (HR$2:(INDIRECT(HI$61&amp;HR55-2)) &lt;&gt; ""),ROW(HR$2:(INDIRECT(HI$61&amp;HR55-2)))),LOOKUP(2,1 / (HR$2:(INDIRECT(HI$61&amp;HR55-1)) &lt;&gt; ""),ROW(HR$2:(INDIRECT(HI$61&amp;HR55-1)))))</f>
        <v>#N/A</v>
      </c>
      <c r="HS56" s="29"/>
      <c r="HT56" s="29"/>
      <c r="HU56" s="279" t="s">
        <v>173</v>
      </c>
      <c r="HV56" s="31">
        <f>COUNTIF(ID2:ID51,"W")</f>
        <v>0</v>
      </c>
      <c r="HW56" s="281"/>
      <c r="HX56" s="279" t="s">
        <v>102</v>
      </c>
      <c r="HY56" s="31">
        <f>HY54 - HY55</f>
        <v>0</v>
      </c>
      <c r="HZ56" s="31"/>
      <c r="IA56" s="31" t="e">
        <f ca="1">INDIRECT(HU$61&amp;ID56)</f>
        <v>#N/A</v>
      </c>
      <c r="IB56" s="31"/>
      <c r="IC56" s="31"/>
      <c r="ID56" s="31" t="e">
        <f ca="1">IF(ISBLANK(INDIRECT(HU$61&amp;ID55-1)), LOOKUP(2,1 / (ID$2:(INDIRECT(HU$61&amp;ID55-2)) &lt;&gt; ""),ROW(ID$2:(INDIRECT(HU$61&amp;ID55-2)))),LOOKUP(2,1 / (ID$2:(INDIRECT(HU$61&amp;ID55-1)) &lt;&gt; ""),ROW(ID$2:(INDIRECT(HU$61&amp;ID55-1)))))</f>
        <v>#N/A</v>
      </c>
      <c r="IE56" s="31"/>
      <c r="IF56" s="31"/>
    </row>
    <row r="57" spans="1:240" hidden="1">
      <c r="A57" s="215" t="s">
        <v>175</v>
      </c>
      <c r="B57" s="68">
        <f>COUNTIF(J2:J51,"D")</f>
        <v>0</v>
      </c>
      <c r="C57" s="302"/>
      <c r="D57" s="215" t="s">
        <v>104</v>
      </c>
      <c r="E57" s="68" t="e">
        <f ca="1">G54&amp;G55&amp;G56&amp;G57&amp;G58</f>
        <v>#N/A</v>
      </c>
      <c r="F57" s="6"/>
      <c r="G57" s="6" t="e">
        <f ca="1">INDIRECT(A$61&amp;J57)</f>
        <v>#N/A</v>
      </c>
      <c r="H57" s="6"/>
      <c r="I57" s="6"/>
      <c r="J57" s="6" t="e">
        <f ca="1">IF(ISBLANK(INDIRECT(A$61&amp;J56-1)), LOOKUP(2,1 / (J$2:(INDIRECT(A$61&amp;J56-2)) &lt;&gt; ""),ROW(J$2:(INDIRECT(A$61&amp;J56-2)))),LOOKUP(2,1 / (J$2:(INDIRECT(A$61&amp;J56-1)) &lt;&gt; ""),ROW(J$2:(INDIRECT(A$61&amp;J56-1)))))</f>
        <v>#N/A</v>
      </c>
      <c r="K57" s="6"/>
      <c r="L57" s="6"/>
      <c r="M57" s="385" t="s">
        <v>175</v>
      </c>
      <c r="N57" s="380">
        <f>COUNTIF(V2:V51,"D")</f>
        <v>0</v>
      </c>
      <c r="O57" s="380"/>
      <c r="P57" s="385" t="s">
        <v>104</v>
      </c>
      <c r="Q57" s="380" t="e">
        <f ca="1">S54&amp;S55&amp;S56&amp;S57&amp;S58</f>
        <v>#N/A</v>
      </c>
      <c r="R57" s="380"/>
      <c r="S57" s="380" t="e">
        <f ca="1">INDIRECT(M$61&amp;V57)</f>
        <v>#N/A</v>
      </c>
      <c r="T57" s="380"/>
      <c r="U57" s="380"/>
      <c r="V57" s="380" t="e">
        <f ca="1">IF(ISBLANK(INDIRECT(M$61&amp;V56-1)), LOOKUP(2,1 / (V$2:(INDIRECT(M$61&amp;V56-2)) &lt;&gt; ""),ROW(V$2:(INDIRECT(M$61&amp;V56-2)))),LOOKUP(2,1 / (V$2:(INDIRECT(M$61&amp;V56-1)) &lt;&gt; ""),ROW(V$2:(INDIRECT(M$61&amp;V56-1)))))</f>
        <v>#N/A</v>
      </c>
      <c r="W57" s="380"/>
      <c r="X57" s="380"/>
      <c r="Y57" s="421" t="s">
        <v>175</v>
      </c>
      <c r="Z57" s="412">
        <f>COUNTIF(AH2:AH51,"D")</f>
        <v>0</v>
      </c>
      <c r="AA57" s="424"/>
      <c r="AB57" s="421" t="s">
        <v>104</v>
      </c>
      <c r="AC57" s="412" t="e">
        <f ca="1">AE54&amp;AE55&amp;AE56&amp;AE57&amp;AE58</f>
        <v>#N/A</v>
      </c>
      <c r="AD57" s="412"/>
      <c r="AE57" s="412" t="e">
        <f ca="1">INDIRECT(Y$61&amp;AH57)</f>
        <v>#N/A</v>
      </c>
      <c r="AF57" s="412"/>
      <c r="AG57" s="412"/>
      <c r="AH57" s="412" t="e">
        <f ca="1">IF(ISBLANK(INDIRECT(Y$61&amp;AH56-1)), LOOKUP(2,1 / (AH$2:(INDIRECT(Y$61&amp;AH56-2)) &lt;&gt; ""),ROW(AH$2:(INDIRECT(Y$61&amp;AH56-2)))),LOOKUP(2,1 / (AH$2:(INDIRECT(Y$61&amp;AH56-1)) &lt;&gt; ""),ROW(AH$2:(INDIRECT(Y$61&amp;AH56-1)))))</f>
        <v>#N/A</v>
      </c>
      <c r="AI57" s="412"/>
      <c r="AJ57" s="412"/>
      <c r="AK57" s="430" t="s">
        <v>175</v>
      </c>
      <c r="AL57" s="413">
        <f>COUNTIF(AT2:AT51,"D")</f>
        <v>0</v>
      </c>
      <c r="AM57" s="433"/>
      <c r="AN57" s="430" t="s">
        <v>104</v>
      </c>
      <c r="AO57" s="413" t="e">
        <f ca="1">AQ54&amp;AQ55&amp;AQ56&amp;AQ57&amp;AQ58</f>
        <v>#N/A</v>
      </c>
      <c r="AP57" s="413"/>
      <c r="AQ57" s="413" t="e">
        <f ca="1">INDIRECT(AK$61&amp;AT57)</f>
        <v>#N/A</v>
      </c>
      <c r="AR57" s="413"/>
      <c r="AS57" s="413"/>
      <c r="AT57" s="413" t="e">
        <f ca="1">IF(ISBLANK(INDIRECT(AK$61&amp;AT56-1)), LOOKUP(2,1 / (AT$2:(INDIRECT(AK$61&amp;AT56-2)) &lt;&gt; ""),ROW(AT$2:(INDIRECT(AK$61&amp;AT56-2)))),LOOKUP(2,1 / (AT$2:(INDIRECT(AK$61&amp;AT56-1)) &lt;&gt; ""),ROW(AT$2:(INDIRECT(AK$61&amp;AT56-1)))))</f>
        <v>#N/A</v>
      </c>
      <c r="AU57" s="413"/>
      <c r="AV57" s="413"/>
      <c r="AW57" s="220" t="s">
        <v>175</v>
      </c>
      <c r="AX57" s="9">
        <f>COUNTIF(BF2:BF51,"D")</f>
        <v>0</v>
      </c>
      <c r="AY57" s="222"/>
      <c r="AZ57" s="220" t="s">
        <v>104</v>
      </c>
      <c r="BA57" s="9" t="e">
        <f ca="1">BC54&amp;BC55&amp;BC56&amp;BC57&amp;BC58</f>
        <v>#N/A</v>
      </c>
      <c r="BB57" s="9"/>
      <c r="BC57" s="9" t="e">
        <f ca="1">INDIRECT(AW$61&amp;BF57)</f>
        <v>#N/A</v>
      </c>
      <c r="BD57" s="9"/>
      <c r="BE57" s="9"/>
      <c r="BF57" s="9" t="e">
        <f ca="1">IF(ISBLANK(INDIRECT(AW$61&amp;BF56-1)), LOOKUP(2,1 / (BF$2:(INDIRECT(AW$61&amp;BF56-2)) &lt;&gt; ""),ROW(BF$2:(INDIRECT(AW$61&amp;BF56-2)))),LOOKUP(2,1 / (BF$2:(INDIRECT(AW$61&amp;BF56-1)) &lt;&gt; ""),ROW(BF$2:(INDIRECT(AW$61&amp;BF56-1)))))</f>
        <v>#N/A</v>
      </c>
      <c r="BG57" s="9"/>
      <c r="BH57" s="9"/>
      <c r="BI57" s="439" t="s">
        <v>175</v>
      </c>
      <c r="BJ57" s="414">
        <f>COUNTIF(BR2:BR51,"D")</f>
        <v>0</v>
      </c>
      <c r="BK57" s="442"/>
      <c r="BL57" s="439" t="s">
        <v>104</v>
      </c>
      <c r="BM57" s="414" t="e">
        <f ca="1">BO54&amp;BO55&amp;BO56&amp;BO57&amp;BO58</f>
        <v>#N/A</v>
      </c>
      <c r="BN57" s="414"/>
      <c r="BO57" s="414" t="e">
        <f ca="1">INDIRECT(BI$61&amp;BR57)</f>
        <v>#N/A</v>
      </c>
      <c r="BP57" s="414"/>
      <c r="BQ57" s="414"/>
      <c r="BR57" s="414" t="e">
        <f ca="1">IF(ISBLANK(INDIRECT(BI$61&amp;BR56-1)), LOOKUP(2,1 / (BR$2:(INDIRECT(BI$61&amp;BR56-2)) &lt;&gt; ""),ROW(BR$2:(INDIRECT(BI$61&amp;BR56-2)))),LOOKUP(2,1 / (BR$2:(INDIRECT(BI$61&amp;BR56-1)) &lt;&gt; ""),ROW(BR$2:(INDIRECT(BI$61&amp;BR56-1)))))</f>
        <v>#N/A</v>
      </c>
      <c r="BS57" s="414"/>
      <c r="BT57" s="414"/>
      <c r="BU57" s="226" t="s">
        <v>175</v>
      </c>
      <c r="BV57" s="13">
        <f>COUNTIF(CD2:CD51,"D")</f>
        <v>0</v>
      </c>
      <c r="BW57" s="228"/>
      <c r="BX57" s="226" t="s">
        <v>104</v>
      </c>
      <c r="BY57" s="13" t="e">
        <f ca="1">CA54&amp;CA55&amp;CA56&amp;CA57&amp;CA58</f>
        <v>#N/A</v>
      </c>
      <c r="BZ57" s="13"/>
      <c r="CA57" s="13" t="e">
        <f ca="1">INDIRECT(BU$61&amp;CD57)</f>
        <v>#N/A</v>
      </c>
      <c r="CB57" s="13"/>
      <c r="CC57" s="13"/>
      <c r="CD57" s="13" t="e">
        <f ca="1">IF(ISBLANK(INDIRECT(BU$61&amp;CD56-1)), LOOKUP(2,1 / (CD$2:(INDIRECT(BU$61&amp;CD56-2)) &lt;&gt; ""),ROW(CD$2:(INDIRECT(BU$61&amp;CD56-2)))),LOOKUP(2,1 / (CD$2:(INDIRECT(BU$61&amp;CD56-1)) &lt;&gt; ""),ROW(CD$2:(INDIRECT(BU$61&amp;CD56-1)))))</f>
        <v>#N/A</v>
      </c>
      <c r="CE57" s="13"/>
      <c r="CF57" s="13"/>
      <c r="CG57" s="397" t="s">
        <v>175</v>
      </c>
      <c r="CH57" s="14">
        <f>COUNTIF(CP2:CP51,"D")</f>
        <v>0</v>
      </c>
      <c r="CI57" s="400"/>
      <c r="CJ57" s="397" t="s">
        <v>104</v>
      </c>
      <c r="CK57" s="14" t="e">
        <f ca="1">CM54&amp;CM55&amp;CM56&amp;CM57&amp;CM58</f>
        <v>#N/A</v>
      </c>
      <c r="CL57" s="14"/>
      <c r="CM57" s="14" t="e">
        <f ca="1">INDIRECT(CG$61&amp;CP57)</f>
        <v>#N/A</v>
      </c>
      <c r="CN57" s="14"/>
      <c r="CO57" s="14"/>
      <c r="CP57" s="14" t="e">
        <f ca="1">IF(ISBLANK(INDIRECT(CG$61&amp;CP56-1)), LOOKUP(2,1 / (CP$2:(INDIRECT(CG$61&amp;CP56-2)) &lt;&gt; ""),ROW(CP$2:(INDIRECT(CG$61&amp;CP56-2)))),LOOKUP(2,1 / (CP$2:(INDIRECT(CG$61&amp;CP56-1)) &lt;&gt; ""),ROW(CP$2:(INDIRECT(CG$61&amp;CP56-1)))))</f>
        <v>#N/A</v>
      </c>
      <c r="CQ57" s="14"/>
      <c r="CR57" s="14"/>
      <c r="CS57" s="234" t="s">
        <v>175</v>
      </c>
      <c r="CT57" s="17">
        <f>COUNTIF(DB2:DB51,"D")</f>
        <v>0</v>
      </c>
      <c r="CU57" s="236"/>
      <c r="CV57" s="234" t="s">
        <v>104</v>
      </c>
      <c r="CW57" s="17" t="e">
        <f ca="1">CY54&amp;CY55&amp;CY56&amp;CY57&amp;CY58</f>
        <v>#N/A</v>
      </c>
      <c r="CX57" s="17"/>
      <c r="CY57" s="17" t="e">
        <f ca="1">INDIRECT(CS$61&amp;DB57)</f>
        <v>#N/A</v>
      </c>
      <c r="CZ57" s="17"/>
      <c r="DA57" s="17"/>
      <c r="DB57" s="17" t="e">
        <f ca="1">IF(ISBLANK(INDIRECT(CS$61&amp;DB56-1)), LOOKUP(2,1 / (DB$2:(INDIRECT(CS$61&amp;DB56-2)) &lt;&gt; ""),ROW(DB$2:(INDIRECT(CS$61&amp;DB56-2)))),LOOKUP(2,1 / (DB$2:(INDIRECT(CS$61&amp;DB56-1)) &lt;&gt; ""),ROW(DB$2:(INDIRECT(CS$61&amp;DB56-1)))))</f>
        <v>#N/A</v>
      </c>
      <c r="DC57" s="17"/>
      <c r="DD57" s="17"/>
      <c r="DE57" s="447" t="s">
        <v>175</v>
      </c>
      <c r="DF57" s="143">
        <f>COUNTIF(DN2:DN51,"D")</f>
        <v>0</v>
      </c>
      <c r="DG57" s="450"/>
      <c r="DH57" s="447" t="s">
        <v>104</v>
      </c>
      <c r="DI57" s="143" t="e">
        <f ca="1">DK54&amp;DK55&amp;DK56&amp;DK57&amp;DK58</f>
        <v>#N/A</v>
      </c>
      <c r="DJ57" s="143"/>
      <c r="DK57" s="143" t="e">
        <f ca="1">INDIRECT(DE$61&amp;DN57)</f>
        <v>#N/A</v>
      </c>
      <c r="DL57" s="143"/>
      <c r="DM57" s="143"/>
      <c r="DN57" s="143" t="e">
        <f ca="1">IF(ISBLANK(INDIRECT(DE$61&amp;DN56-1)), LOOKUP(2,1 / (DN$2:(INDIRECT(DE$61&amp;DN56-2)) &lt;&gt; ""),ROW(DN$2:(INDIRECT(DE$61&amp;DN56-2)))),LOOKUP(2,1 / (DN$2:(INDIRECT(DE$61&amp;DN56-1)) &lt;&gt; ""),ROW(DN$2:(INDIRECT(DE$61&amp;DN56-1)))))</f>
        <v>#N/A</v>
      </c>
      <c r="DO57" s="143"/>
      <c r="DP57" s="143"/>
      <c r="DQ57" s="385" t="s">
        <v>175</v>
      </c>
      <c r="DR57" s="380">
        <f>COUNTIF(DZ2:DZ51,"D")</f>
        <v>0</v>
      </c>
      <c r="DS57" s="388"/>
      <c r="DT57" s="385" t="s">
        <v>104</v>
      </c>
      <c r="DU57" s="380" t="e">
        <f ca="1">DW54&amp;DW55&amp;DW56&amp;DW57&amp;DW58</f>
        <v>#N/A</v>
      </c>
      <c r="DV57" s="380"/>
      <c r="DW57" s="380" t="e">
        <f ca="1">INDIRECT(DQ$61&amp;DZ57)</f>
        <v>#N/A</v>
      </c>
      <c r="DX57" s="380"/>
      <c r="DY57" s="380"/>
      <c r="DZ57" s="380" t="e">
        <f ca="1">IF(ISBLANK(INDIRECT(DQ$61&amp;DZ56-1)), LOOKUP(2,1 / (DZ$2:(INDIRECT(DQ$61&amp;DZ56-2)) &lt;&gt; ""),ROW(DZ$2:(INDIRECT(DQ$61&amp;DZ56-2)))),LOOKUP(2,1 / (DZ$2:(INDIRECT(DQ$61&amp;DZ56-1)) &lt;&gt; ""),ROW(DZ$2:(INDIRECT(DQ$61&amp;DZ56-1)))))</f>
        <v>#N/A</v>
      </c>
      <c r="EA57" s="380"/>
      <c r="EB57" s="380"/>
      <c r="EC57" s="240" t="s">
        <v>175</v>
      </c>
      <c r="ED57" s="19">
        <f>COUNTIF(EL2:EL51,"D")</f>
        <v>0</v>
      </c>
      <c r="EE57" s="242"/>
      <c r="EF57" s="240" t="s">
        <v>104</v>
      </c>
      <c r="EG57" s="19" t="e">
        <f ca="1">EI54&amp;EI55&amp;EI56&amp;EI57&amp;EI58</f>
        <v>#N/A</v>
      </c>
      <c r="EH57" s="19"/>
      <c r="EI57" s="19" t="e">
        <f ca="1">INDIRECT(EC$61&amp;EL57)</f>
        <v>#N/A</v>
      </c>
      <c r="EJ57" s="19"/>
      <c r="EK57" s="19"/>
      <c r="EL57" s="19" t="e">
        <f ca="1">IF(ISBLANK(INDIRECT(EC$61&amp;EL56-1)), LOOKUP(2,1 / (EL$2:(INDIRECT(EC$61&amp;EL56-2)) &lt;&gt; ""),ROW(EL$2:(INDIRECT(EC$61&amp;EL56-2)))),LOOKUP(2,1 / (EL$2:(INDIRECT(EC$61&amp;EL56-1)) &lt;&gt; ""),ROW(EL$2:(INDIRECT(EC$61&amp;EL56-1)))))</f>
        <v>#N/A</v>
      </c>
      <c r="EM57" s="19"/>
      <c r="EN57" s="19"/>
      <c r="EO57" s="246" t="s">
        <v>175</v>
      </c>
      <c r="EP57" s="21">
        <f>COUNTIF(EX2:EX51,"D")</f>
        <v>0</v>
      </c>
      <c r="EQ57" s="248"/>
      <c r="ER57" s="246" t="s">
        <v>104</v>
      </c>
      <c r="ES57" s="21" t="e">
        <f ca="1">EU54&amp;EU55&amp;EU56&amp;EU57&amp;EU58</f>
        <v>#N/A</v>
      </c>
      <c r="ET57" s="21"/>
      <c r="EU57" s="21" t="e">
        <f ca="1">INDIRECT(EO$61&amp;EX57)</f>
        <v>#N/A</v>
      </c>
      <c r="EV57" s="21"/>
      <c r="EW57" s="21"/>
      <c r="EX57" s="21" t="e">
        <f ca="1">IF(ISBLANK(INDIRECT(EO$61&amp;EX56-1)), LOOKUP(2,1 / (EX$2:(INDIRECT(EO$61&amp;EX56-2)) &lt;&gt; ""),ROW(EX$2:(INDIRECT(EO$61&amp;EX56-2)))),LOOKUP(2,1 / (EX$2:(INDIRECT(EO$61&amp;EX56-1)) &lt;&gt; ""),ROW(EX$2:(INDIRECT(EO$61&amp;EX56-1)))))</f>
        <v>#N/A</v>
      </c>
      <c r="EY57" s="21"/>
      <c r="EZ57" s="21"/>
      <c r="FA57" s="254" t="s">
        <v>175</v>
      </c>
      <c r="FB57" s="23">
        <f>COUNTIF(FJ2:FJ51,"D")</f>
        <v>0</v>
      </c>
      <c r="FC57" s="256"/>
      <c r="FD57" s="254" t="s">
        <v>104</v>
      </c>
      <c r="FE57" s="23" t="e">
        <f ca="1">FG54&amp;FG55&amp;FG56&amp;FG57&amp;FG58</f>
        <v>#N/A</v>
      </c>
      <c r="FF57" s="23"/>
      <c r="FG57" s="23" t="e">
        <f ca="1">INDIRECT(FA$61&amp;FJ57)</f>
        <v>#N/A</v>
      </c>
      <c r="FH57" s="23"/>
      <c r="FI57" s="23"/>
      <c r="FJ57" s="23" t="e">
        <f ca="1">IF(ISBLANK(INDIRECT(FA$61&amp;FJ56-1)), LOOKUP(2,1 / (FJ$2:(INDIRECT(FA$61&amp;FJ56-2)) &lt;&gt; ""),ROW(FJ$2:(INDIRECT(FA$61&amp;FJ56-2)))),LOOKUP(2,1 / (FJ$2:(INDIRECT(FA$61&amp;FJ56-1)) &lt;&gt; ""),ROW(FJ$2:(INDIRECT(FA$61&amp;FJ56-1)))))</f>
        <v>#N/A</v>
      </c>
      <c r="FK57" s="23"/>
      <c r="FL57" s="23"/>
      <c r="FM57" s="260" t="s">
        <v>175</v>
      </c>
      <c r="FN57" s="25">
        <f>COUNTIF(FV2:FV51,"D")</f>
        <v>0</v>
      </c>
      <c r="FO57" s="262"/>
      <c r="FP57" s="260" t="s">
        <v>104</v>
      </c>
      <c r="FQ57" s="25" t="e">
        <f ca="1">FS54&amp;FS55&amp;FS56&amp;FS57&amp;FS58</f>
        <v>#N/A</v>
      </c>
      <c r="FR57" s="25"/>
      <c r="FS57" s="25" t="e">
        <f ca="1">INDIRECT(FM$61&amp;FV57)</f>
        <v>#N/A</v>
      </c>
      <c r="FT57" s="25"/>
      <c r="FU57" s="25"/>
      <c r="FV57" s="25" t="e">
        <f ca="1">IF(ISBLANK(INDIRECT(FM$61&amp;FV56-1)), LOOKUP(2,1 / (FV$2:(INDIRECT(FM$61&amp;FV56-2)) &lt;&gt; ""),ROW(FV$2:(INDIRECT(FM$61&amp;FV56-2)))),LOOKUP(2,1 / (FV$2:(INDIRECT(FM$61&amp;FV56-1)) &lt;&gt; ""),ROW(FV$2:(INDIRECT(FM$61&amp;FV56-1)))))</f>
        <v>#N/A</v>
      </c>
      <c r="FW57" s="25"/>
      <c r="FX57" s="25"/>
      <c r="FY57" s="405" t="s">
        <v>175</v>
      </c>
      <c r="FZ57" s="390">
        <f>COUNTIF(GH2:GH51,"D")</f>
        <v>0</v>
      </c>
      <c r="GA57" s="408"/>
      <c r="GB57" s="405" t="s">
        <v>104</v>
      </c>
      <c r="GC57" s="390" t="e">
        <f ca="1">GE54&amp;GE55&amp;GE56&amp;GE57&amp;GE58</f>
        <v>#N/A</v>
      </c>
      <c r="GD57" s="390"/>
      <c r="GE57" s="390" t="e">
        <f ca="1">INDIRECT(FY$61&amp;GH57)</f>
        <v>#N/A</v>
      </c>
      <c r="GF57" s="390"/>
      <c r="GG57" s="390"/>
      <c r="GH57" s="390" t="e">
        <f ca="1">IF(ISBLANK(INDIRECT(FY$61&amp;GH56-1)), LOOKUP(2,1 / (GH$2:(INDIRECT(FY$61&amp;GH56-2)) &lt;&gt; ""),ROW(GH$2:(INDIRECT(FY$61&amp;GH56-2)))),LOOKUP(2,1 / (GH$2:(INDIRECT(FY$61&amp;GH56-1)) &lt;&gt; ""),ROW(GH$2:(INDIRECT(FY$61&amp;GH56-1)))))</f>
        <v>#N/A</v>
      </c>
      <c r="GI57" s="390"/>
      <c r="GJ57" s="390"/>
      <c r="GK57" s="267" t="s">
        <v>175</v>
      </c>
      <c r="GL57" s="27">
        <f>COUNTIF(GT2:GT51,"D")</f>
        <v>0</v>
      </c>
      <c r="GM57" s="269"/>
      <c r="GN57" s="267" t="s">
        <v>104</v>
      </c>
      <c r="GO57" s="27" t="e">
        <f ca="1">GQ54&amp;GQ55&amp;GQ56&amp;GQ57&amp;GQ58</f>
        <v>#N/A</v>
      </c>
      <c r="GP57" s="27"/>
      <c r="GQ57" s="27" t="e">
        <f ca="1">INDIRECT(GK$61&amp;GT57)</f>
        <v>#N/A</v>
      </c>
      <c r="GR57" s="27"/>
      <c r="GS57" s="27"/>
      <c r="GT57" s="27" t="e">
        <f ca="1">IF(ISBLANK(INDIRECT(GK$61&amp;GT56-1)), LOOKUP(2,1 / (GT$2:(INDIRECT(GK$61&amp;GT56-2)) &lt;&gt; ""),ROW(GT$2:(INDIRECT(GK$61&amp;GT56-2)))),LOOKUP(2,1 / (GT$2:(INDIRECT(GK$61&amp;GT56-1)) &lt;&gt; ""),ROW(GT$2:(INDIRECT(GK$61&amp;GT56-1)))))</f>
        <v>#N/A</v>
      </c>
      <c r="GU57" s="27"/>
      <c r="GV57" s="27"/>
      <c r="GW57" s="385" t="s">
        <v>175</v>
      </c>
      <c r="GX57" s="380">
        <f>COUNTIF(HF2:HF51,"D")</f>
        <v>0</v>
      </c>
      <c r="GY57" s="388"/>
      <c r="GZ57" s="385" t="s">
        <v>104</v>
      </c>
      <c r="HA57" s="380" t="e">
        <f ca="1">HC54&amp;HC55&amp;HC56&amp;HC57&amp;HC58</f>
        <v>#N/A</v>
      </c>
      <c r="HB57" s="380"/>
      <c r="HC57" s="380" t="e">
        <f ca="1">INDIRECT(GW$61&amp;HF57)</f>
        <v>#N/A</v>
      </c>
      <c r="HD57" s="380"/>
      <c r="HE57" s="380"/>
      <c r="HF57" s="380" t="e">
        <f ca="1">IF(ISBLANK(INDIRECT(GW$61&amp;HF56-1)), LOOKUP(2,1 / (HF$2:(INDIRECT(GW$61&amp;HF56-2)) &lt;&gt; ""),ROW(HF$2:(INDIRECT(GW$61&amp;HF56-2)))),LOOKUP(2,1 / (HF$2:(INDIRECT(GW$61&amp;HF56-1)) &lt;&gt; ""),ROW(HF$2:(INDIRECT(GW$61&amp;HF56-1)))))</f>
        <v>#N/A</v>
      </c>
      <c r="HG57" s="380"/>
      <c r="HH57" s="380"/>
      <c r="HI57" s="273" t="s">
        <v>175</v>
      </c>
      <c r="HJ57" s="29">
        <f>COUNTIF(HR2:HR51,"D")</f>
        <v>0</v>
      </c>
      <c r="HK57" s="275"/>
      <c r="HL57" s="273" t="s">
        <v>104</v>
      </c>
      <c r="HM57" s="29" t="e">
        <f ca="1">HO54&amp;HO55&amp;HO56&amp;HO57&amp;HO58</f>
        <v>#N/A</v>
      </c>
      <c r="HN57" s="29"/>
      <c r="HO57" s="29" t="e">
        <f ca="1">INDIRECT(HI$61&amp;HR57)</f>
        <v>#N/A</v>
      </c>
      <c r="HP57" s="29"/>
      <c r="HQ57" s="29"/>
      <c r="HR57" s="29" t="e">
        <f ca="1">IF(ISBLANK(INDIRECT(HI$61&amp;HR56-1)), LOOKUP(2,1 / (HR$2:(INDIRECT(HI$61&amp;HR56-2)) &lt;&gt; ""),ROW(HR$2:(INDIRECT(HI$61&amp;HR56-2)))),LOOKUP(2,1 / (HR$2:(INDIRECT(HI$61&amp;HR56-1)) &lt;&gt; ""),ROW(HR$2:(INDIRECT(HI$61&amp;HR56-1)))))</f>
        <v>#N/A</v>
      </c>
      <c r="HS57" s="29"/>
      <c r="HT57" s="29"/>
      <c r="HU57" s="279" t="s">
        <v>175</v>
      </c>
      <c r="HV57" s="31">
        <f>COUNTIF(ID2:ID51,"D")</f>
        <v>0</v>
      </c>
      <c r="HW57" s="281"/>
      <c r="HX57" s="279" t="s">
        <v>104</v>
      </c>
      <c r="HY57" s="31" t="e">
        <f ca="1">IA54&amp;IA55&amp;IA56&amp;IA57&amp;IA58</f>
        <v>#N/A</v>
      </c>
      <c r="HZ57" s="31"/>
      <c r="IA57" s="31" t="e">
        <f ca="1">INDIRECT(HU$61&amp;ID57)</f>
        <v>#N/A</v>
      </c>
      <c r="IB57" s="31"/>
      <c r="IC57" s="31"/>
      <c r="ID57" s="31" t="e">
        <f ca="1">IF(ISBLANK(INDIRECT(HU$61&amp;ID56-1)), LOOKUP(2,1 / (ID$2:(INDIRECT(HU$61&amp;ID56-2)) &lt;&gt; ""),ROW(ID$2:(INDIRECT(HU$61&amp;ID56-2)))),LOOKUP(2,1 / (ID$2:(INDIRECT(HU$61&amp;ID56-1)) &lt;&gt; ""),ROW(ID$2:(INDIRECT(HU$61&amp;ID56-1)))))</f>
        <v>#N/A</v>
      </c>
      <c r="IE57" s="31"/>
      <c r="IF57" s="31"/>
    </row>
    <row r="58" spans="1:240" hidden="1">
      <c r="A58" s="215" t="s">
        <v>174</v>
      </c>
      <c r="B58" s="68">
        <f>COUNTIF(J2:J51,"L")</f>
        <v>0</v>
      </c>
      <c r="C58" s="302"/>
      <c r="D58" s="215" t="s">
        <v>176</v>
      </c>
      <c r="E58" s="68" t="str">
        <f ca="1">INDIRECT(B61&amp;J59)</f>
        <v>Man Utd</v>
      </c>
      <c r="F58" s="6"/>
      <c r="G58" s="6" t="e">
        <f ca="1">INDIRECT(A$61&amp;J58)</f>
        <v>#N/A</v>
      </c>
      <c r="H58" s="6"/>
      <c r="I58" s="6"/>
      <c r="J58" s="6" t="e">
        <f ca="1">IF(ISBLANK(INDIRECT(A$61&amp;J57-1)), LOOKUP(2,1 / (J$2:(INDIRECT(A$61&amp;J57-2)) &lt;&gt; ""),ROW(J$2:(INDIRECT(A$61&amp;J57-2)))),LOOKUP(2,1 / (J$2:(INDIRECT(A$61&amp;J57-1)) &lt;&gt; ""),ROW(J$2:(INDIRECT(A$61&amp;J57-1)))))</f>
        <v>#N/A</v>
      </c>
      <c r="K58" s="6"/>
      <c r="L58" s="6"/>
      <c r="M58" s="385" t="s">
        <v>174</v>
      </c>
      <c r="N58" s="380">
        <f>COUNTIF(V2:V51,"L")</f>
        <v>0</v>
      </c>
      <c r="O58" s="380"/>
      <c r="P58" s="385" t="s">
        <v>176</v>
      </c>
      <c r="Q58" s="380" t="str">
        <f ca="1">INDIRECT(N61&amp;V59)</f>
        <v>Newcastle</v>
      </c>
      <c r="R58" s="380"/>
      <c r="S58" s="380" t="e">
        <f ca="1">INDIRECT(M$61&amp;V58)</f>
        <v>#N/A</v>
      </c>
      <c r="T58" s="380"/>
      <c r="U58" s="380"/>
      <c r="V58" s="380" t="e">
        <f ca="1">IF(ISBLANK(INDIRECT(M$61&amp;V57-1)), LOOKUP(2,1 / (V$2:(INDIRECT(M$61&amp;V57-2)) &lt;&gt; ""),ROW(V$2:(INDIRECT(M$61&amp;V57-2)))),LOOKUP(2,1 / (V$2:(INDIRECT(M$61&amp;V57-1)) &lt;&gt; ""),ROW(V$2:(INDIRECT(M$61&amp;V57-1)))))</f>
        <v>#N/A</v>
      </c>
      <c r="W58" s="380"/>
      <c r="X58" s="380"/>
      <c r="Y58" s="421" t="s">
        <v>174</v>
      </c>
      <c r="Z58" s="412">
        <f>COUNTIF(AH2:AH51,"L")</f>
        <v>0</v>
      </c>
      <c r="AA58" s="424"/>
      <c r="AB58" s="421" t="s">
        <v>176</v>
      </c>
      <c r="AC58" s="412" t="str">
        <f ca="1">INDIRECT(Z61&amp;AH59)</f>
        <v>Liverpool</v>
      </c>
      <c r="AD58" s="412"/>
      <c r="AE58" s="412" t="e">
        <f ca="1">INDIRECT(Y$61&amp;AH58)</f>
        <v>#N/A</v>
      </c>
      <c r="AF58" s="412"/>
      <c r="AG58" s="412"/>
      <c r="AH58" s="412" t="e">
        <f ca="1">IF(ISBLANK(INDIRECT(Y$61&amp;AH57-1)), LOOKUP(2,1 / (AH$2:(INDIRECT(Y$61&amp;AH57-2)) &lt;&gt; ""),ROW(AH$2:(INDIRECT(Y$61&amp;AH57-2)))),LOOKUP(2,1 / (AH$2:(INDIRECT(Y$61&amp;AH57-1)) &lt;&gt; ""),ROW(AH$2:(INDIRECT(Y$61&amp;AH57-1)))))</f>
        <v>#N/A</v>
      </c>
      <c r="AI58" s="412"/>
      <c r="AJ58" s="412"/>
      <c r="AK58" s="430" t="s">
        <v>174</v>
      </c>
      <c r="AL58" s="413">
        <f>COUNTIF(AT2:AT51,"L")</f>
        <v>0</v>
      </c>
      <c r="AM58" s="413"/>
      <c r="AN58" s="430" t="s">
        <v>176</v>
      </c>
      <c r="AO58" s="413" t="str">
        <f ca="1">INDIRECT(AL61&amp;AT59)</f>
        <v>Nott'm Forest</v>
      </c>
      <c r="AP58" s="413"/>
      <c r="AQ58" s="413" t="e">
        <f ca="1">INDIRECT(AK$61&amp;AT58)</f>
        <v>#N/A</v>
      </c>
      <c r="AR58" s="413"/>
      <c r="AS58" s="413"/>
      <c r="AT58" s="413" t="e">
        <f ca="1">IF(ISBLANK(INDIRECT(AK$61&amp;AT57-1)), LOOKUP(2,1 / (AT$2:(INDIRECT(AK$61&amp;AT57-2)) &lt;&gt; ""),ROW(AT$2:(INDIRECT(AK$61&amp;AT57-2)))),LOOKUP(2,1 / (AT$2:(INDIRECT(AK$61&amp;AT57-1)) &lt;&gt; ""),ROW(AT$2:(INDIRECT(AK$61&amp;AT57-1)))))</f>
        <v>#N/A</v>
      </c>
      <c r="AU58" s="413"/>
      <c r="AV58" s="413"/>
      <c r="AW58" s="220" t="s">
        <v>174</v>
      </c>
      <c r="AX58" s="9">
        <f>COUNTIF(BF2:BF51,"L")</f>
        <v>0</v>
      </c>
      <c r="AY58" s="222"/>
      <c r="AZ58" s="220" t="s">
        <v>176</v>
      </c>
      <c r="BA58" s="9" t="str">
        <f ca="1">INDIRECT(AX61&amp;BF59)</f>
        <v>Fulham</v>
      </c>
      <c r="BB58" s="9"/>
      <c r="BC58" s="9" t="e">
        <f ca="1">INDIRECT(AW$61&amp;BF58)</f>
        <v>#N/A</v>
      </c>
      <c r="BD58" s="9"/>
      <c r="BE58" s="9"/>
      <c r="BF58" s="9" t="e">
        <f ca="1">IF(ISBLANK(INDIRECT(AW$61&amp;BF57-1)), LOOKUP(2,1 / (BF$2:(INDIRECT(AW$61&amp;BF57-2)) &lt;&gt; ""),ROW(BF$2:(INDIRECT(AW$61&amp;BF57-2)))),LOOKUP(2,1 / (BF$2:(INDIRECT(AW$61&amp;BF57-1)) &lt;&gt; ""),ROW(BF$2:(INDIRECT(AW$61&amp;BF57-1)))))</f>
        <v>#N/A</v>
      </c>
      <c r="BG58" s="9"/>
      <c r="BH58" s="9"/>
      <c r="BI58" s="439" t="s">
        <v>174</v>
      </c>
      <c r="BJ58" s="414">
        <f>COUNTIF(BR2:BR51,"L")</f>
        <v>0</v>
      </c>
      <c r="BK58" s="414"/>
      <c r="BL58" s="439" t="s">
        <v>176</v>
      </c>
      <c r="BM58" s="414" t="str">
        <f ca="1">INDIRECT(BJ61&amp;BR59)</f>
        <v>Spurs</v>
      </c>
      <c r="BN58" s="414"/>
      <c r="BO58" s="414" t="e">
        <f ca="1">INDIRECT(BI$61&amp;BR58)</f>
        <v>#N/A</v>
      </c>
      <c r="BP58" s="414"/>
      <c r="BQ58" s="414"/>
      <c r="BR58" s="414" t="e">
        <f ca="1">IF(ISBLANK(INDIRECT(BI$61&amp;BR57-1)), LOOKUP(2,1 / (BR$2:(INDIRECT(BI$61&amp;BR57-2)) &lt;&gt; ""),ROW(BR$2:(INDIRECT(BI$61&amp;BR57-2)))),LOOKUP(2,1 / (BR$2:(INDIRECT(BI$61&amp;BR57-1)) &lt;&gt; ""),ROW(BR$2:(INDIRECT(BI$61&amp;BR57-1)))))</f>
        <v>#N/A</v>
      </c>
      <c r="BS58" s="414"/>
      <c r="BT58" s="414"/>
      <c r="BU58" s="226" t="s">
        <v>174</v>
      </c>
      <c r="BV58" s="13">
        <f>COUNTIF(CD2:CD51,"L")</f>
        <v>0</v>
      </c>
      <c r="BW58" s="228"/>
      <c r="BX58" s="226" t="s">
        <v>176</v>
      </c>
      <c r="BY58" s="13" t="str">
        <f ca="1">INDIRECT(BV61&amp;CD59)</f>
        <v>Crystal Palace</v>
      </c>
      <c r="BZ58" s="13"/>
      <c r="CA58" s="13" t="e">
        <f ca="1">INDIRECT(BU$61&amp;CD58)</f>
        <v>#N/A</v>
      </c>
      <c r="CB58" s="13"/>
      <c r="CC58" s="13"/>
      <c r="CD58" s="13" t="e">
        <f ca="1">IF(ISBLANK(INDIRECT(BU$61&amp;CD57-1)), LOOKUP(2,1 / (CD$2:(INDIRECT(BU$61&amp;CD57-2)) &lt;&gt; ""),ROW(CD$2:(INDIRECT(BU$61&amp;CD57-2)))),LOOKUP(2,1 / (CD$2:(INDIRECT(BU$61&amp;CD57-1)) &lt;&gt; ""),ROW(CD$2:(INDIRECT(BU$61&amp;CD57-1)))))</f>
        <v>#N/A</v>
      </c>
      <c r="CE58" s="13"/>
      <c r="CF58" s="13"/>
      <c r="CG58" s="397" t="s">
        <v>174</v>
      </c>
      <c r="CH58" s="14">
        <f>COUNTIF(CP2:CP51,"L")</f>
        <v>0</v>
      </c>
      <c r="CI58" s="14"/>
      <c r="CJ58" s="397" t="s">
        <v>176</v>
      </c>
      <c r="CK58" s="14" t="str">
        <f ca="1">INDIRECT(CH61&amp;CP59)</f>
        <v>Chelsea</v>
      </c>
      <c r="CL58" s="14"/>
      <c r="CM58" s="14" t="e">
        <f ca="1">INDIRECT(CG$61&amp;CP58)</f>
        <v>#N/A</v>
      </c>
      <c r="CN58" s="14"/>
      <c r="CO58" s="14"/>
      <c r="CP58" s="14" t="e">
        <f ca="1">IF(ISBLANK(INDIRECT(CG$61&amp;CP57-1)), LOOKUP(2,1 / (CP$2:(INDIRECT(CG$61&amp;CP57-2)) &lt;&gt; ""),ROW(CP$2:(INDIRECT(CG$61&amp;CP57-2)))),LOOKUP(2,1 / (CP$2:(INDIRECT(CG$61&amp;CP57-1)) &lt;&gt; ""),ROW(CP$2:(INDIRECT(CG$61&amp;CP57-1)))))</f>
        <v>#N/A</v>
      </c>
      <c r="CQ58" s="14"/>
      <c r="CR58" s="14"/>
      <c r="CS58" s="234" t="s">
        <v>174</v>
      </c>
      <c r="CT58" s="17">
        <f>COUNTIF(DB2:DB51,"L")</f>
        <v>0</v>
      </c>
      <c r="CU58" s="236"/>
      <c r="CV58" s="234" t="s">
        <v>176</v>
      </c>
      <c r="CW58" s="17" t="str">
        <f ca="1">INDIRECT(CT61&amp;DB59)</f>
        <v>Leeds Utd</v>
      </c>
      <c r="CX58" s="17"/>
      <c r="CY58" s="17" t="e">
        <f ca="1">INDIRECT(CS$61&amp;DB58)</f>
        <v>#N/A</v>
      </c>
      <c r="CZ58" s="17"/>
      <c r="DA58" s="17"/>
      <c r="DB58" s="17" t="e">
        <f ca="1">IF(ISBLANK(INDIRECT(CS$61&amp;DB57-1)), LOOKUP(2,1 / (DB$2:(INDIRECT(CS$61&amp;DB57-2)) &lt;&gt; ""),ROW(DB$2:(INDIRECT(CS$61&amp;DB57-2)))),LOOKUP(2,1 / (DB$2:(INDIRECT(CS$61&amp;DB57-1)) &lt;&gt; ""),ROW(DB$2:(INDIRECT(CS$61&amp;DB57-1)))))</f>
        <v>#N/A</v>
      </c>
      <c r="DC58" s="17"/>
      <c r="DD58" s="17"/>
      <c r="DE58" s="447" t="s">
        <v>174</v>
      </c>
      <c r="DF58" s="143">
        <f>COUNTIF(DN2:DN51,"L")</f>
        <v>0</v>
      </c>
      <c r="DG58" s="143"/>
      <c r="DH58" s="447" t="s">
        <v>176</v>
      </c>
      <c r="DI58" s="143" t="str">
        <f ca="1">INDIRECT(DF61&amp;DN59)</f>
        <v>Brighton</v>
      </c>
      <c r="DJ58" s="143"/>
      <c r="DK58" s="143" t="e">
        <f ca="1">INDIRECT(DE$61&amp;DN58)</f>
        <v>#N/A</v>
      </c>
      <c r="DL58" s="143"/>
      <c r="DM58" s="143"/>
      <c r="DN58" s="143" t="e">
        <f ca="1">IF(ISBLANK(INDIRECT(DE$61&amp;DN57-1)), LOOKUP(2,1 / (DN$2:(INDIRECT(DE$61&amp;DN57-2)) &lt;&gt; ""),ROW(DN$2:(INDIRECT(DE$61&amp;DN57-2)))),LOOKUP(2,1 / (DN$2:(INDIRECT(DE$61&amp;DN57-1)) &lt;&gt; ""),ROW(DN$2:(INDIRECT(DE$61&amp;DN57-1)))))</f>
        <v>#N/A</v>
      </c>
      <c r="DO58" s="143"/>
      <c r="DP58" s="143"/>
      <c r="DQ58" s="385" t="s">
        <v>174</v>
      </c>
      <c r="DR58" s="380">
        <f>COUNTIF(DZ2:DZ51,"L")</f>
        <v>0</v>
      </c>
      <c r="DS58" s="388"/>
      <c r="DT58" s="385" t="s">
        <v>176</v>
      </c>
      <c r="DU58" s="380" t="str">
        <f ca="1">INDIRECT(DR61&amp;DZ59)</f>
        <v>Everton</v>
      </c>
      <c r="DV58" s="380"/>
      <c r="DW58" s="380" t="e">
        <f ca="1">INDIRECT(DQ$61&amp;DZ58)</f>
        <v>#N/A</v>
      </c>
      <c r="DX58" s="380"/>
      <c r="DY58" s="380"/>
      <c r="DZ58" s="380" t="e">
        <f ca="1">IF(ISBLANK(INDIRECT(DQ$61&amp;DZ57-1)), LOOKUP(2,1 / (DZ$2:(INDIRECT(DQ$61&amp;DZ57-2)) &lt;&gt; ""),ROW(DZ$2:(INDIRECT(DQ$61&amp;DZ57-2)))),LOOKUP(2,1 / (DZ$2:(INDIRECT(DQ$61&amp;DZ57-1)) &lt;&gt; ""),ROW(DZ$2:(INDIRECT(DQ$61&amp;DZ57-1)))))</f>
        <v>#N/A</v>
      </c>
      <c r="EA58" s="380"/>
      <c r="EB58" s="380"/>
      <c r="EC58" s="240" t="s">
        <v>174</v>
      </c>
      <c r="ED58" s="19">
        <f>COUNTIF(EL2:EL51,"L")</f>
        <v>0</v>
      </c>
      <c r="EE58" s="19"/>
      <c r="EF58" s="240" t="s">
        <v>176</v>
      </c>
      <c r="EG58" s="19" t="str">
        <f ca="1">INDIRECT(ED61&amp;EL59)</f>
        <v>Bournemouth</v>
      </c>
      <c r="EH58" s="19"/>
      <c r="EI58" s="19" t="e">
        <f ca="1">INDIRECT(EC$61&amp;EL58)</f>
        <v>#N/A</v>
      </c>
      <c r="EJ58" s="19"/>
      <c r="EK58" s="19"/>
      <c r="EL58" s="19" t="e">
        <f ca="1">IF(ISBLANK(INDIRECT(EC$61&amp;EL57-1)), LOOKUP(2,1 / (EL$2:(INDIRECT(EC$61&amp;EL57-2)) &lt;&gt; ""),ROW(EL$2:(INDIRECT(EC$61&amp;EL57-2)))),LOOKUP(2,1 / (EL$2:(INDIRECT(EC$61&amp;EL57-1)) &lt;&gt; ""),ROW(EL$2:(INDIRECT(EC$61&amp;EL57-1)))))</f>
        <v>#N/A</v>
      </c>
      <c r="EM58" s="19"/>
      <c r="EN58" s="19"/>
      <c r="EO58" s="246" t="s">
        <v>174</v>
      </c>
      <c r="EP58" s="21">
        <f>COUNTIF(EX2:EX51,"L")</f>
        <v>0</v>
      </c>
      <c r="EQ58" s="248"/>
      <c r="ER58" s="246" t="s">
        <v>176</v>
      </c>
      <c r="ES58" s="21" t="str">
        <f ca="1">INDIRECT(EP61&amp;EX59)</f>
        <v>Wolves</v>
      </c>
      <c r="ET58" s="21"/>
      <c r="EU58" s="21" t="e">
        <f ca="1">INDIRECT(EO$61&amp;EX58)</f>
        <v>#N/A</v>
      </c>
      <c r="EV58" s="21"/>
      <c r="EW58" s="21"/>
      <c r="EX58" s="21" t="e">
        <f ca="1">IF(ISBLANK(INDIRECT(EO$61&amp;EX57-1)), LOOKUP(2,1 / (EX$2:(INDIRECT(EO$61&amp;EX57-2)) &lt;&gt; ""),ROW(EX$2:(INDIRECT(EO$61&amp;EX57-2)))),LOOKUP(2,1 / (EX$2:(INDIRECT(EO$61&amp;EX57-1)) &lt;&gt; ""),ROW(EX$2:(INDIRECT(EO$61&amp;EX57-1)))))</f>
        <v>#N/A</v>
      </c>
      <c r="EY58" s="21"/>
      <c r="EZ58" s="21"/>
      <c r="FA58" s="254" t="s">
        <v>174</v>
      </c>
      <c r="FB58" s="23">
        <f>COUNTIF(FJ2:FJ51,"L")</f>
        <v>0</v>
      </c>
      <c r="FC58" s="23"/>
      <c r="FD58" s="254" t="s">
        <v>176</v>
      </c>
      <c r="FE58" s="23" t="str">
        <f ca="1">INDIRECT(FB61&amp;FJ59)</f>
        <v>Arsenal</v>
      </c>
      <c r="FF58" s="23"/>
      <c r="FG58" s="23" t="e">
        <f ca="1">INDIRECT(FA$61&amp;FJ58)</f>
        <v>#N/A</v>
      </c>
      <c r="FH58" s="23"/>
      <c r="FI58" s="23"/>
      <c r="FJ58" s="23" t="e">
        <f ca="1">IF(ISBLANK(INDIRECT(FA$61&amp;FJ57-1)), LOOKUP(2,1 / (FJ$2:(INDIRECT(FA$61&amp;FJ57-2)) &lt;&gt; ""),ROW(FJ$2:(INDIRECT(FA$61&amp;FJ57-2)))),LOOKUP(2,1 / (FJ$2:(INDIRECT(FA$61&amp;FJ57-1)) &lt;&gt; ""),ROW(FJ$2:(INDIRECT(FA$61&amp;FJ57-1)))))</f>
        <v>#N/A</v>
      </c>
      <c r="FK58" s="23"/>
      <c r="FL58" s="23"/>
      <c r="FM58" s="260" t="s">
        <v>174</v>
      </c>
      <c r="FN58" s="25">
        <f>COUNTIF(FV2:FV51,"L")</f>
        <v>0</v>
      </c>
      <c r="FO58" s="262"/>
      <c r="FP58" s="260" t="s">
        <v>176</v>
      </c>
      <c r="FQ58" s="25" t="str">
        <f ca="1">INDIRECT(FN61&amp;FV59)</f>
        <v>Aston Villa</v>
      </c>
      <c r="FR58" s="25"/>
      <c r="FS58" s="25" t="e">
        <f ca="1">INDIRECT(FM$61&amp;FV58)</f>
        <v>#N/A</v>
      </c>
      <c r="FT58" s="25"/>
      <c r="FU58" s="25"/>
      <c r="FV58" s="25" t="e">
        <f ca="1">IF(ISBLANK(INDIRECT(FM$61&amp;FV57-1)), LOOKUP(2,1 / (FV$2:(INDIRECT(FM$61&amp;FV57-2)) &lt;&gt; ""),ROW(FV$2:(INDIRECT(FM$61&amp;FV57-2)))),LOOKUP(2,1 / (FV$2:(INDIRECT(FM$61&amp;FV57-1)) &lt;&gt; ""),ROW(FV$2:(INDIRECT(FM$61&amp;FV57-1)))))</f>
        <v>#N/A</v>
      </c>
      <c r="FW58" s="25"/>
      <c r="FX58" s="25"/>
      <c r="FY58" s="405" t="s">
        <v>174</v>
      </c>
      <c r="FZ58" s="390">
        <f>COUNTIF(GH2:GH51,"L")</f>
        <v>0</v>
      </c>
      <c r="GA58" s="390"/>
      <c r="GB58" s="405" t="s">
        <v>176</v>
      </c>
      <c r="GC58" s="390" t="str">
        <f ca="1">INDIRECT(FZ61&amp;GH59)</f>
        <v>Brentford</v>
      </c>
      <c r="GD58" s="390"/>
      <c r="GE58" s="390" t="e">
        <f ca="1">INDIRECT(FY$61&amp;GH58)</f>
        <v>#N/A</v>
      </c>
      <c r="GF58" s="390"/>
      <c r="GG58" s="390"/>
      <c r="GH58" s="390" t="e">
        <f ca="1">IF(ISBLANK(INDIRECT(FY$61&amp;GH57-1)), LOOKUP(2,1 / (GH$2:(INDIRECT(FY$61&amp;GH57-2)) &lt;&gt; ""),ROW(GH$2:(INDIRECT(FY$61&amp;GH57-2)))),LOOKUP(2,1 / (GH$2:(INDIRECT(FY$61&amp;GH57-1)) &lt;&gt; ""),ROW(GH$2:(INDIRECT(FY$61&amp;GH57-1)))))</f>
        <v>#N/A</v>
      </c>
      <c r="GI58" s="390"/>
      <c r="GJ58" s="390"/>
      <c r="GK58" s="267" t="s">
        <v>174</v>
      </c>
      <c r="GL58" s="27">
        <f>COUNTIF(GT2:GT51,"L")</f>
        <v>0</v>
      </c>
      <c r="GM58" s="269"/>
      <c r="GN58" s="267" t="s">
        <v>176</v>
      </c>
      <c r="GO58" s="27" t="str">
        <f ca="1">INDIRECT(GL61&amp;GT59)</f>
        <v>Burnley</v>
      </c>
      <c r="GP58" s="27"/>
      <c r="GQ58" s="27" t="e">
        <f ca="1">INDIRECT(GK$61&amp;GT58)</f>
        <v>#N/A</v>
      </c>
      <c r="GR58" s="27"/>
      <c r="GS58" s="27"/>
      <c r="GT58" s="27" t="e">
        <f ca="1">IF(ISBLANK(INDIRECT(GK$61&amp;GT57-1)), LOOKUP(2,1 / (GT$2:(INDIRECT(GK$61&amp;GT57-2)) &lt;&gt; ""),ROW(GT$2:(INDIRECT(GK$61&amp;GT57-2)))),LOOKUP(2,1 / (GT$2:(INDIRECT(GK$61&amp;GT57-1)) &lt;&gt; ""),ROW(GT$2:(INDIRECT(GK$61&amp;GT57-1)))))</f>
        <v>#N/A</v>
      </c>
      <c r="GU58" s="27"/>
      <c r="GV58" s="27"/>
      <c r="GW58" s="385" t="s">
        <v>174</v>
      </c>
      <c r="GX58" s="380">
        <f>COUNTIF(HF2:HF51,"L")</f>
        <v>0</v>
      </c>
      <c r="GY58" s="380"/>
      <c r="GZ58" s="385" t="s">
        <v>176</v>
      </c>
      <c r="HA58" s="380" t="str">
        <f ca="1">INDIRECT(GX61&amp;HF59)</f>
        <v>West Ham</v>
      </c>
      <c r="HB58" s="380"/>
      <c r="HC58" s="380" t="e">
        <f ca="1">INDIRECT(GW$61&amp;HF58)</f>
        <v>#N/A</v>
      </c>
      <c r="HD58" s="380"/>
      <c r="HE58" s="380"/>
      <c r="HF58" s="380" t="e">
        <f ca="1">IF(ISBLANK(INDIRECT(GW$61&amp;HF57-1)), LOOKUP(2,1 / (HF$2:(INDIRECT(GW$61&amp;HF57-2)) &lt;&gt; ""),ROW(HF$2:(INDIRECT(GW$61&amp;HF57-2)))),LOOKUP(2,1 / (HF$2:(INDIRECT(GW$61&amp;HF57-1)) &lt;&gt; ""),ROW(HF$2:(INDIRECT(GW$61&amp;HF57-1)))))</f>
        <v>#N/A</v>
      </c>
      <c r="HG58" s="380"/>
      <c r="HH58" s="380"/>
      <c r="HI58" s="273" t="s">
        <v>174</v>
      </c>
      <c r="HJ58" s="29">
        <f>COUNTIF(HR2:HR51,"L")</f>
        <v>0</v>
      </c>
      <c r="HK58" s="275"/>
      <c r="HL58" s="273" t="s">
        <v>176</v>
      </c>
      <c r="HM58" s="29" t="str">
        <f ca="1">INDIRECT(HJ61&amp;HR59)</f>
        <v>Sunderland</v>
      </c>
      <c r="HN58" s="29"/>
      <c r="HO58" s="29" t="e">
        <f ca="1">INDIRECT(HI$61&amp;HR58)</f>
        <v>#N/A</v>
      </c>
      <c r="HP58" s="29"/>
      <c r="HQ58" s="29"/>
      <c r="HR58" s="29" t="e">
        <f ca="1">IF(ISBLANK(INDIRECT(HI$61&amp;HR57-1)), LOOKUP(2,1 / (HR$2:(INDIRECT(HI$61&amp;HR57-2)) &lt;&gt; ""),ROW(HR$2:(INDIRECT(HI$61&amp;HR57-2)))),LOOKUP(2,1 / (HR$2:(INDIRECT(HI$61&amp;HR57-1)) &lt;&gt; ""),ROW(HR$2:(INDIRECT(HI$61&amp;HR57-1)))))</f>
        <v>#N/A</v>
      </c>
      <c r="HS58" s="29"/>
      <c r="HT58" s="29"/>
      <c r="HU58" s="279" t="s">
        <v>174</v>
      </c>
      <c r="HV58" s="31">
        <f>COUNTIF(ID2:ID51,"L")</f>
        <v>0</v>
      </c>
      <c r="HW58" s="31"/>
      <c r="HX58" s="279" t="s">
        <v>176</v>
      </c>
      <c r="HY58" s="31" t="str">
        <f ca="1">INDIRECT(HV61&amp;ID59)</f>
        <v>Man City</v>
      </c>
      <c r="HZ58" s="31"/>
      <c r="IA58" s="31" t="e">
        <f ca="1">INDIRECT(HU$61&amp;ID58)</f>
        <v>#N/A</v>
      </c>
      <c r="IB58" s="31"/>
      <c r="IC58" s="31"/>
      <c r="ID58" s="31" t="e">
        <f ca="1">IF(ISBLANK(INDIRECT(HU$61&amp;ID57-1)), LOOKUP(2,1 / (ID$2:(INDIRECT(HU$61&amp;ID57-2)) &lt;&gt; ""),ROW(ID$2:(INDIRECT(HU$61&amp;ID57-2)))),LOOKUP(2,1 / (ID$2:(INDIRECT(HU$61&amp;ID57-1)) &lt;&gt; ""),ROW(ID$2:(INDIRECT(HU$61&amp;ID57-1)))))</f>
        <v>#N/A</v>
      </c>
      <c r="IE58" s="31"/>
      <c r="IF58" s="31"/>
    </row>
    <row r="59" spans="1:240" hidden="1">
      <c r="A59" s="215"/>
      <c r="B59" s="6"/>
      <c r="C59" s="6"/>
      <c r="D59" s="215" t="s">
        <v>178</v>
      </c>
      <c r="E59" s="306" t="str">
        <f ca="1">INDIRECT(D61&amp;J59)</f>
        <v>A</v>
      </c>
      <c r="F59" s="6"/>
      <c r="G59" s="6"/>
      <c r="H59" s="6"/>
      <c r="I59" s="6"/>
      <c r="J59" s="6">
        <f ca="1">IFERROR(IF(ISBLANK(INDIRECT(B$61&amp;J54+1)), LOOKUP(2,1 / (E$2:(INDIRECT(B$61&amp;J54+2)) &lt;&gt; ""),ROW(E$2:(INDIRECT(B$61&amp;J54+2)))),LOOKUP(2,1 / (E$2:(INDIRECT(B$61&amp;J54+1)) &lt;&gt; ""),ROW(E$2:(INDIRECT(B$61&amp;J54+1))))),3)</f>
        <v>3</v>
      </c>
      <c r="K59" s="6"/>
      <c r="L59" s="6"/>
      <c r="M59" s="381"/>
      <c r="N59" s="380"/>
      <c r="O59" s="388"/>
      <c r="P59" s="385" t="s">
        <v>178</v>
      </c>
      <c r="Q59" s="380" t="str">
        <f ca="1">INDIRECT(P61&amp;V59)</f>
        <v>H</v>
      </c>
      <c r="R59" s="380"/>
      <c r="S59" s="380"/>
      <c r="T59" s="380"/>
      <c r="U59" s="380"/>
      <c r="V59" s="380">
        <f ca="1">IFERROR(IF(ISBLANK(INDIRECT(N$61&amp;V54+1)), LOOKUP(2,1 / (Q$2:(INDIRECT(N$61&amp;V54+2)) &lt;&gt; ""),ROW(Q$2:(INDIRECT(N$61&amp;V54+2)))),LOOKUP(2,1 / (Q$2:(INDIRECT(N$61&amp;V54+1)) &lt;&gt; ""),ROW(Q$2:(INDIRECT(N$61&amp;V54+1))))),3)</f>
        <v>3</v>
      </c>
      <c r="W59" s="380"/>
      <c r="X59" s="380"/>
      <c r="Y59" s="417"/>
      <c r="Z59" s="412"/>
      <c r="AA59" s="412"/>
      <c r="AB59" s="421" t="s">
        <v>178</v>
      </c>
      <c r="AC59" s="412" t="str">
        <f ca="1">INDIRECT(AB61&amp;AH59)</f>
        <v>A</v>
      </c>
      <c r="AD59" s="412"/>
      <c r="AE59" s="412"/>
      <c r="AF59" s="412"/>
      <c r="AG59" s="412"/>
      <c r="AH59" s="412">
        <f ca="1">IFERROR(IF(ISBLANK(INDIRECT(Z$61&amp;AH54+1)), LOOKUP(2,1 / (AC$2:(INDIRECT(Z$61&amp;AH54+2)) &lt;&gt; ""),ROW(AC$2:(INDIRECT(Z$61&amp;AH54+2)))),LOOKUP(2,1 / (AC$2:(INDIRECT(Z$61&amp;AH54+1)) &lt;&gt; ""),ROW(AC$2:(INDIRECT(Z$61&amp;AH54+1))))),3)</f>
        <v>3</v>
      </c>
      <c r="AI59" s="412"/>
      <c r="AJ59" s="412"/>
      <c r="AK59" s="426"/>
      <c r="AL59" s="413"/>
      <c r="AM59" s="413"/>
      <c r="AN59" s="430" t="s">
        <v>178</v>
      </c>
      <c r="AO59" s="413" t="str">
        <f ca="1">INDIRECT(AN61&amp;AT59)</f>
        <v>A</v>
      </c>
      <c r="AP59" s="413"/>
      <c r="AQ59" s="413"/>
      <c r="AR59" s="413"/>
      <c r="AS59" s="413"/>
      <c r="AT59" s="413">
        <f ca="1">IFERROR(IF(ISBLANK(INDIRECT(AL$61&amp;AT54+1)), LOOKUP(2,1 / (AO$2:(INDIRECT(AL$61&amp;AT54+2)) &lt;&gt; ""),ROW(AO$2:(INDIRECT(AL$61&amp;AT54+2)))),LOOKUP(2,1 / (AO$2:(INDIRECT(AL$61&amp;AT54+1)) &lt;&gt; ""),ROW(AO$2:(INDIRECT(AL$61&amp;AT54+1))))),3)</f>
        <v>3</v>
      </c>
      <c r="AU59" s="413"/>
      <c r="AV59" s="413"/>
      <c r="AW59" s="218"/>
      <c r="AX59" s="9"/>
      <c r="AY59" s="9"/>
      <c r="AZ59" s="220" t="s">
        <v>178</v>
      </c>
      <c r="BA59" s="9" t="str">
        <f ca="1">INDIRECT(AZ61&amp;BF59)</f>
        <v>H</v>
      </c>
      <c r="BB59" s="9"/>
      <c r="BC59" s="9"/>
      <c r="BD59" s="9"/>
      <c r="BE59" s="9"/>
      <c r="BF59" s="9">
        <f ca="1">IFERROR(IF(ISBLANK(INDIRECT(AX$61&amp;BF54+1)), LOOKUP(2,1 / (BA$2:(INDIRECT(AX$61&amp;BF54+2)) &lt;&gt; ""),ROW(BA$2:(INDIRECT(AX$61&amp;BF54+2)))),LOOKUP(2,1 / (BA$2:(INDIRECT(AX$61&amp;BF54+1)) &lt;&gt; ""),ROW(BA$2:(INDIRECT(AX$61&amp;BF54+1))))),3)</f>
        <v>3</v>
      </c>
      <c r="BG59" s="9"/>
      <c r="BH59" s="9"/>
      <c r="BI59" s="435"/>
      <c r="BJ59" s="414"/>
      <c r="BK59" s="414"/>
      <c r="BL59" s="439" t="s">
        <v>178</v>
      </c>
      <c r="BM59" s="414" t="str">
        <f ca="1">INDIRECT(BL61&amp;BR59)</f>
        <v>A</v>
      </c>
      <c r="BN59" s="414"/>
      <c r="BO59" s="414"/>
      <c r="BP59" s="414"/>
      <c r="BQ59" s="414"/>
      <c r="BR59" s="414">
        <f ca="1">IFERROR(IF(ISBLANK(INDIRECT(BJ$61&amp;BR54+1)), LOOKUP(2,1 / (BM$2:(INDIRECT(BJ$61&amp;BR54+2)) &lt;&gt; ""),ROW(BM$2:(INDIRECT(BJ$61&amp;BR54+2)))),LOOKUP(2,1 / (BM$2:(INDIRECT(BJ$61&amp;BR54+1)) &lt;&gt; ""),ROW(BM$2:(INDIRECT(BJ$61&amp;BR54+1))))),3)</f>
        <v>3</v>
      </c>
      <c r="BS59" s="414"/>
      <c r="BT59" s="414"/>
      <c r="BU59" s="224"/>
      <c r="BV59" s="13"/>
      <c r="BW59" s="13"/>
      <c r="BX59" s="226" t="s">
        <v>178</v>
      </c>
      <c r="BY59" s="13" t="str">
        <f ca="1">INDIRECT(BX61&amp;CD59)</f>
        <v>H</v>
      </c>
      <c r="BZ59" s="13"/>
      <c r="CA59" s="13"/>
      <c r="CB59" s="13"/>
      <c r="CC59" s="13"/>
      <c r="CD59" s="13">
        <f ca="1">IFERROR(IF(ISBLANK(INDIRECT(BV$61&amp;CD54+1)), LOOKUP(2,1 / (BY$2:(INDIRECT(BV$61&amp;CD54+2)) &lt;&gt; ""),ROW(BY$2:(INDIRECT(BV$61&amp;CD54+2)))),LOOKUP(2,1 / (BY$2:(INDIRECT(BV$61&amp;CD54+1)) &lt;&gt; ""),ROW(BY$2:(INDIRECT(BV$61&amp;CD54+1))))),3)</f>
        <v>3</v>
      </c>
      <c r="CE59" s="13"/>
      <c r="CF59" s="13"/>
      <c r="CG59" s="393"/>
      <c r="CH59" s="14"/>
      <c r="CI59" s="14"/>
      <c r="CJ59" s="397" t="s">
        <v>178</v>
      </c>
      <c r="CK59" s="14" t="str">
        <f ca="1">INDIRECT(CJ61&amp;CP59)</f>
        <v>A</v>
      </c>
      <c r="CL59" s="14"/>
      <c r="CM59" s="14"/>
      <c r="CN59" s="14"/>
      <c r="CO59" s="14"/>
      <c r="CP59" s="14">
        <f ca="1">IFERROR(IF(ISBLANK(INDIRECT(CH$61&amp;CP54+1)), LOOKUP(2,1 / (CK$2:(INDIRECT(CH$61&amp;CP54+2)) &lt;&gt; ""),ROW(CK$2:(INDIRECT(CH$61&amp;CP54+2)))),LOOKUP(2,1 / (CK$2:(INDIRECT(CH$61&amp;CP54+1)) &lt;&gt; ""),ROW(CK$2:(INDIRECT(CH$61&amp;CP54+1))))),3)</f>
        <v>3</v>
      </c>
      <c r="CQ59" s="14"/>
      <c r="CR59" s="14"/>
      <c r="CS59" s="230"/>
      <c r="CT59" s="17"/>
      <c r="CU59" s="17"/>
      <c r="CV59" s="234" t="s">
        <v>178</v>
      </c>
      <c r="CW59" s="17" t="str">
        <f ca="1">INDIRECT(CV61&amp;DB59)</f>
        <v>A</v>
      </c>
      <c r="CX59" s="17"/>
      <c r="CY59" s="17"/>
      <c r="CZ59" s="17"/>
      <c r="DA59" s="17"/>
      <c r="DB59" s="17">
        <f ca="1">IFERROR(IF(ISBLANK(INDIRECT(CT$61&amp;DB54+1)), LOOKUP(2,1 / (CW$2:(INDIRECT(CT$61&amp;DB54+2)) &lt;&gt; ""),ROW(CW$2:(INDIRECT(CT$61&amp;DB54+2)))),LOOKUP(2,1 / (CW$2:(INDIRECT(CT$61&amp;DB54+1)) &lt;&gt; ""),ROW(CW$2:(INDIRECT(CT$61&amp;DB54+1))))),3)</f>
        <v>3</v>
      </c>
      <c r="DC59" s="17"/>
      <c r="DD59" s="17"/>
      <c r="DE59" s="443"/>
      <c r="DF59" s="143"/>
      <c r="DG59" s="143"/>
      <c r="DH59" s="447" t="s">
        <v>178</v>
      </c>
      <c r="DI59" s="143" t="str">
        <f ca="1">INDIRECT(DH61&amp;DN59)</f>
        <v>A</v>
      </c>
      <c r="DJ59" s="143"/>
      <c r="DK59" s="143"/>
      <c r="DL59" s="143"/>
      <c r="DM59" s="143"/>
      <c r="DN59" s="143">
        <f ca="1">IFERROR(IF(ISBLANK(INDIRECT(DF$61&amp;DN54+1)), LOOKUP(2,1 / (DI$2:(INDIRECT(DF$61&amp;DN54+2)) &lt;&gt; ""),ROW(DI$2:(INDIRECT(DF$61&amp;DN54+2)))),LOOKUP(2,1 / (DI$2:(INDIRECT(DF$61&amp;DN54+1)) &lt;&gt; ""),ROW(DI$2:(INDIRECT(DF$61&amp;DN54+1))))),3)</f>
        <v>3</v>
      </c>
      <c r="DO59" s="143"/>
      <c r="DP59" s="143"/>
      <c r="DQ59" s="381"/>
      <c r="DR59" s="380"/>
      <c r="DS59" s="380"/>
      <c r="DT59" s="385" t="s">
        <v>178</v>
      </c>
      <c r="DU59" s="380" t="str">
        <f ca="1">INDIRECT(DT61&amp;DZ59)</f>
        <v>H</v>
      </c>
      <c r="DV59" s="380"/>
      <c r="DW59" s="380"/>
      <c r="DX59" s="380"/>
      <c r="DY59" s="380"/>
      <c r="DZ59" s="380">
        <f ca="1">IFERROR(IF(ISBLANK(INDIRECT(DR$61&amp;DZ54+1)), LOOKUP(2,1 / (DU$2:(INDIRECT(DR$61&amp;DZ54+2)) &lt;&gt; ""),ROW(DU$2:(INDIRECT(DR$61&amp;DZ54+2)))),LOOKUP(2,1 / (DU$2:(INDIRECT(DR$61&amp;DZ54+1)) &lt;&gt; ""),ROW(DU$2:(INDIRECT(DR$61&amp;DZ54+1))))),3)</f>
        <v>3</v>
      </c>
      <c r="EA59" s="380"/>
      <c r="EB59" s="380"/>
      <c r="EC59" s="238"/>
      <c r="ED59" s="19"/>
      <c r="EE59" s="19"/>
      <c r="EF59" s="240" t="s">
        <v>178</v>
      </c>
      <c r="EG59" s="19" t="str">
        <f ca="1">INDIRECT(EF61&amp;EL59)</f>
        <v>H</v>
      </c>
      <c r="EH59" s="19"/>
      <c r="EI59" s="19"/>
      <c r="EJ59" s="19"/>
      <c r="EK59" s="19"/>
      <c r="EL59" s="19">
        <f ca="1">IFERROR(IF(ISBLANK(INDIRECT(ED$61&amp;EL54+1)), LOOKUP(2,1 / (EG$2:(INDIRECT(ED$61&amp;EL54+2)) &lt;&gt; ""),ROW(EG$2:(INDIRECT(ED$61&amp;EL54+2)))),LOOKUP(2,1 / (EG$2:(INDIRECT(ED$61&amp;EL54+1)) &lt;&gt; ""),ROW(EG$2:(INDIRECT(ED$61&amp;EL54+1))))),3)</f>
        <v>3</v>
      </c>
      <c r="EM59" s="19"/>
      <c r="EN59" s="19"/>
      <c r="EO59" s="244"/>
      <c r="EP59" s="21"/>
      <c r="EQ59" s="21"/>
      <c r="ER59" s="246" t="s">
        <v>178</v>
      </c>
      <c r="ES59" s="21" t="str">
        <f ca="1">INDIRECT(ER61&amp;EX59)</f>
        <v>A</v>
      </c>
      <c r="ET59" s="21"/>
      <c r="EU59" s="21"/>
      <c r="EV59" s="21"/>
      <c r="EW59" s="21"/>
      <c r="EX59" s="21">
        <f ca="1">IFERROR(IF(ISBLANK(INDIRECT(EP$61&amp;EX54+1)), LOOKUP(2,1 / (ES$2:(INDIRECT(EP$61&amp;EX54+2)) &lt;&gt; ""),ROW(ES$2:(INDIRECT(EP$61&amp;EX54+2)))),LOOKUP(2,1 / (ES$2:(INDIRECT(EP$61&amp;EX54+1)) &lt;&gt; ""),ROW(ES$2:(INDIRECT(EP$61&amp;EX54+1))))),3)</f>
        <v>3</v>
      </c>
      <c r="EY59" s="21"/>
      <c r="EZ59" s="21"/>
      <c r="FA59" s="250"/>
      <c r="FB59" s="23"/>
      <c r="FC59" s="23"/>
      <c r="FD59" s="254" t="s">
        <v>178</v>
      </c>
      <c r="FE59" s="23" t="str">
        <f ca="1">INDIRECT(FD61&amp;FJ59)</f>
        <v>H</v>
      </c>
      <c r="FF59" s="23"/>
      <c r="FG59" s="23"/>
      <c r="FH59" s="23"/>
      <c r="FI59" s="23"/>
      <c r="FJ59" s="23">
        <f ca="1">IFERROR(IF(ISBLANK(INDIRECT(FB$61&amp;FJ54+1)), LOOKUP(2,1 / (FE$2:(INDIRECT(FB$61&amp;FJ54+2)) &lt;&gt; ""),ROW(FE$2:(INDIRECT(FB$61&amp;FJ54+2)))),LOOKUP(2,1 / (FE$2:(INDIRECT(FB$61&amp;FJ54+1)) &lt;&gt; ""),ROW(FE$2:(INDIRECT(FB$61&amp;FJ54+1))))),3)</f>
        <v>3</v>
      </c>
      <c r="FK59" s="23"/>
      <c r="FL59" s="23"/>
      <c r="FM59" s="258"/>
      <c r="FN59" s="25"/>
      <c r="FO59" s="25"/>
      <c r="FP59" s="260" t="s">
        <v>178</v>
      </c>
      <c r="FQ59" s="25" t="str">
        <f ca="1">INDIRECT(FP61&amp;FV59)</f>
        <v>A</v>
      </c>
      <c r="FR59" s="25"/>
      <c r="FS59" s="25"/>
      <c r="FT59" s="25"/>
      <c r="FU59" s="25"/>
      <c r="FV59" s="25">
        <f ca="1">IFERROR(IF(ISBLANK(INDIRECT(FN$61&amp;FV54+1)), LOOKUP(2,1 / (FQ$2:(INDIRECT(FN$61&amp;FV54+2)) &lt;&gt; ""),ROW(FQ$2:(INDIRECT(FN$61&amp;FV54+2)))),LOOKUP(2,1 / (FQ$2:(INDIRECT(FN$61&amp;FV54+1)) &lt;&gt; ""),ROW(FQ$2:(INDIRECT(FN$61&amp;FV54+1))))),3)</f>
        <v>3</v>
      </c>
      <c r="FW59" s="25"/>
      <c r="FX59" s="25"/>
      <c r="FY59" s="401"/>
      <c r="FZ59" s="390"/>
      <c r="GA59" s="390"/>
      <c r="GB59" s="405" t="s">
        <v>178</v>
      </c>
      <c r="GC59" s="390" t="str">
        <f ca="1">INDIRECT(GB61&amp;GH59)</f>
        <v>H</v>
      </c>
      <c r="GD59" s="390"/>
      <c r="GE59" s="390"/>
      <c r="GF59" s="390"/>
      <c r="GG59" s="390"/>
      <c r="GH59" s="390">
        <f ca="1">IFERROR(IF(ISBLANK(INDIRECT(FZ$61&amp;GH54+1)), LOOKUP(2,1 / (GC$2:(INDIRECT(FZ$61&amp;GH54+2)) &lt;&gt; ""),ROW(GC$2:(INDIRECT(FZ$61&amp;GH54+2)))),LOOKUP(2,1 / (GC$2:(INDIRECT(FZ$61&amp;GH54+1)) &lt;&gt; ""),ROW(GC$2:(INDIRECT(FZ$61&amp;GH54+1))))),3)</f>
        <v>3</v>
      </c>
      <c r="GI59" s="390"/>
      <c r="GJ59" s="390"/>
      <c r="GK59" s="265"/>
      <c r="GL59" s="27"/>
      <c r="GM59" s="27"/>
      <c r="GN59" s="267" t="s">
        <v>178</v>
      </c>
      <c r="GO59" s="27" t="str">
        <f ca="1">INDIRECT(GN61&amp;GT59)</f>
        <v>H</v>
      </c>
      <c r="GP59" s="27"/>
      <c r="GQ59" s="27"/>
      <c r="GR59" s="27"/>
      <c r="GS59" s="27"/>
      <c r="GT59" s="27">
        <f ca="1">IFERROR(IF(ISBLANK(INDIRECT(GL$61&amp;GT54+1)), LOOKUP(2,1 / (GO$2:(INDIRECT(GL$61&amp;GT54+2)) &lt;&gt; ""),ROW(GO$2:(INDIRECT(GL$61&amp;GT54+2)))),LOOKUP(2,1 / (GO$2:(INDIRECT(GL$61&amp;GT54+1)) &lt;&gt; ""),ROW(GO$2:(INDIRECT(GL$61&amp;GT54+1))))),3)</f>
        <v>3</v>
      </c>
      <c r="GU59" s="27"/>
      <c r="GV59" s="27"/>
      <c r="GW59" s="381"/>
      <c r="GX59" s="380"/>
      <c r="GY59" s="380"/>
      <c r="GZ59" s="385" t="s">
        <v>178</v>
      </c>
      <c r="HA59" s="380" t="str">
        <f ca="1">INDIRECT(GZ61&amp;HF59)</f>
        <v>H</v>
      </c>
      <c r="HB59" s="380"/>
      <c r="HC59" s="380"/>
      <c r="HD59" s="380"/>
      <c r="HE59" s="380"/>
      <c r="HF59" s="380">
        <f ca="1">IFERROR(IF(ISBLANK(INDIRECT(GX$61&amp;HF54+1)), LOOKUP(2,1 / (HA$2:(INDIRECT(GX$61&amp;HF54+2)) &lt;&gt; ""),ROW(HA$2:(INDIRECT(GX$61&amp;HF54+2)))),LOOKUP(2,1 / (HA$2:(INDIRECT(GX$61&amp;HF54+1)) &lt;&gt; ""),ROW(HA$2:(INDIRECT(GX$61&amp;HF54+1))))),3)</f>
        <v>3</v>
      </c>
      <c r="HG59" s="380"/>
      <c r="HH59" s="380"/>
      <c r="HI59" s="271"/>
      <c r="HJ59" s="29"/>
      <c r="HK59" s="29"/>
      <c r="HL59" s="273" t="s">
        <v>178</v>
      </c>
      <c r="HM59" s="29" t="str">
        <f ca="1">INDIRECT(HL61&amp;HR59)</f>
        <v>A</v>
      </c>
      <c r="HN59" s="29"/>
      <c r="HO59" s="29"/>
      <c r="HP59" s="29"/>
      <c r="HQ59" s="29"/>
      <c r="HR59" s="29">
        <f ca="1">IFERROR(IF(ISBLANK(INDIRECT(HJ$61&amp;HR54+1)), LOOKUP(2,1 / (HM$2:(INDIRECT(HJ$61&amp;HR54+2)) &lt;&gt; ""),ROW(HM$2:(INDIRECT(HJ$61&amp;HR54+2)))),LOOKUP(2,1 / (HM$2:(INDIRECT(HJ$61&amp;HR54+1)) &lt;&gt; ""),ROW(HM$2:(INDIRECT(HJ$61&amp;HR54+1))))),3)</f>
        <v>3</v>
      </c>
      <c r="HS59" s="29"/>
      <c r="HT59" s="29"/>
      <c r="HU59" s="277"/>
      <c r="HV59" s="31"/>
      <c r="HW59" s="31"/>
      <c r="HX59" s="279" t="s">
        <v>178</v>
      </c>
      <c r="HY59" s="31" t="str">
        <f ca="1">INDIRECT(HX61&amp;ID59)</f>
        <v>H</v>
      </c>
      <c r="HZ59" s="31"/>
      <c r="IA59" s="31"/>
      <c r="IB59" s="31"/>
      <c r="IC59" s="31"/>
      <c r="ID59" s="31">
        <f ca="1">IFERROR(IF(ISBLANK(INDIRECT(HV$61&amp;ID54+1)), LOOKUP(2,1 / (HY$2:(INDIRECT(HV$61&amp;ID54+2)) &lt;&gt; ""),ROW(HY$2:(INDIRECT(HV$61&amp;ID54+2)))),LOOKUP(2,1 / (HY$2:(INDIRECT(HV$61&amp;ID54+1)) &lt;&gt; ""),ROW(HY$2:(INDIRECT(HV$61&amp;ID54+1))))),3)</f>
        <v>3</v>
      </c>
      <c r="IE59" s="31"/>
      <c r="IF59" s="31"/>
    </row>
    <row r="60" spans="1:240" hidden="1">
      <c r="A60" s="215"/>
      <c r="B60" s="6"/>
      <c r="C60" s="6"/>
      <c r="D60" s="213"/>
      <c r="E60" s="304"/>
      <c r="F60" s="6"/>
      <c r="G60" s="6"/>
      <c r="H60" s="6"/>
      <c r="I60" s="6"/>
      <c r="J60" s="6"/>
      <c r="K60" s="6"/>
      <c r="L60" s="6"/>
      <c r="M60" s="385"/>
      <c r="N60" s="380"/>
      <c r="O60" s="388"/>
      <c r="P60" s="383"/>
      <c r="Q60" s="380"/>
      <c r="R60" s="380"/>
      <c r="S60" s="380"/>
      <c r="T60" s="380"/>
      <c r="U60" s="380"/>
      <c r="V60" s="380"/>
      <c r="W60" s="380"/>
      <c r="X60" s="380"/>
      <c r="Y60" s="417"/>
      <c r="Z60" s="412"/>
      <c r="AA60" s="412"/>
      <c r="AB60" s="419"/>
      <c r="AC60" s="412"/>
      <c r="AD60" s="412"/>
      <c r="AE60" s="412"/>
      <c r="AF60" s="412"/>
      <c r="AG60" s="412"/>
      <c r="AH60" s="412"/>
      <c r="AI60" s="412"/>
      <c r="AJ60" s="412"/>
      <c r="AK60" s="430"/>
      <c r="AL60" s="413"/>
      <c r="AM60" s="413"/>
      <c r="AN60" s="428"/>
      <c r="AO60" s="413"/>
      <c r="AP60" s="413"/>
      <c r="AQ60" s="413"/>
      <c r="AR60" s="413"/>
      <c r="AS60" s="413"/>
      <c r="AT60" s="413"/>
      <c r="AU60" s="413"/>
      <c r="AV60" s="413"/>
      <c r="AW60" s="218"/>
      <c r="AX60" s="9"/>
      <c r="AY60" s="9"/>
      <c r="AZ60" s="73"/>
      <c r="BA60" s="9"/>
      <c r="BB60" s="9"/>
      <c r="BC60" s="9"/>
      <c r="BD60" s="9"/>
      <c r="BE60" s="9"/>
      <c r="BF60" s="9"/>
      <c r="BG60" s="9"/>
      <c r="BH60" s="9"/>
      <c r="BI60" s="439"/>
      <c r="BJ60" s="414"/>
      <c r="BK60" s="414"/>
      <c r="BL60" s="437"/>
      <c r="BM60" s="414"/>
      <c r="BN60" s="414"/>
      <c r="BO60" s="414"/>
      <c r="BP60" s="414"/>
      <c r="BQ60" s="414"/>
      <c r="BR60" s="414"/>
      <c r="BS60" s="414"/>
      <c r="BT60" s="414"/>
      <c r="BU60" s="226"/>
      <c r="BV60" s="13"/>
      <c r="BW60" s="13"/>
      <c r="BX60" s="148"/>
      <c r="BY60" s="13"/>
      <c r="BZ60" s="13"/>
      <c r="CA60" s="13"/>
      <c r="CB60" s="13"/>
      <c r="CC60" s="13"/>
      <c r="CD60" s="13"/>
      <c r="CE60" s="13"/>
      <c r="CF60" s="13"/>
      <c r="CG60" s="397"/>
      <c r="CH60" s="14"/>
      <c r="CI60" s="14"/>
      <c r="CJ60" s="395"/>
      <c r="CK60" s="14"/>
      <c r="CL60" s="14"/>
      <c r="CM60" s="14"/>
      <c r="CN60" s="14"/>
      <c r="CO60" s="14"/>
      <c r="CP60" s="14"/>
      <c r="CQ60" s="14"/>
      <c r="CR60" s="14"/>
      <c r="CS60" s="230"/>
      <c r="CT60" s="17"/>
      <c r="CU60" s="17"/>
      <c r="CV60" s="232"/>
      <c r="CW60" s="17"/>
      <c r="CX60" s="17"/>
      <c r="CY60" s="17"/>
      <c r="CZ60" s="17"/>
      <c r="DA60" s="17"/>
      <c r="DB60" s="17"/>
      <c r="DC60" s="17"/>
      <c r="DD60" s="17"/>
      <c r="DE60" s="447"/>
      <c r="DF60" s="143"/>
      <c r="DG60" s="143"/>
      <c r="DH60" s="445"/>
      <c r="DI60" s="143"/>
      <c r="DJ60" s="143"/>
      <c r="DK60" s="143"/>
      <c r="DL60" s="143"/>
      <c r="DM60" s="143"/>
      <c r="DN60" s="143"/>
      <c r="DO60" s="143"/>
      <c r="DP60" s="143"/>
      <c r="DQ60" s="385"/>
      <c r="DR60" s="380"/>
      <c r="DS60" s="380"/>
      <c r="DT60" s="383"/>
      <c r="DU60" s="380"/>
      <c r="DV60" s="380"/>
      <c r="DW60" s="380"/>
      <c r="DX60" s="380"/>
      <c r="DY60" s="380"/>
      <c r="DZ60" s="380"/>
      <c r="EA60" s="380"/>
      <c r="EB60" s="380"/>
      <c r="EC60" s="238"/>
      <c r="ED60" s="19"/>
      <c r="EE60" s="19"/>
      <c r="EF60" s="209"/>
      <c r="EG60" s="19"/>
      <c r="EH60" s="19"/>
      <c r="EI60" s="19"/>
      <c r="EJ60" s="19"/>
      <c r="EK60" s="19"/>
      <c r="EL60" s="19"/>
      <c r="EM60" s="19"/>
      <c r="EN60" s="19"/>
      <c r="EO60" s="244"/>
      <c r="EP60" s="21"/>
      <c r="EQ60" s="21"/>
      <c r="ER60" s="82"/>
      <c r="ES60" s="21"/>
      <c r="ET60" s="21"/>
      <c r="EU60" s="21"/>
      <c r="EV60" s="21"/>
      <c r="EW60" s="21"/>
      <c r="EX60" s="21"/>
      <c r="EY60" s="21"/>
      <c r="EZ60" s="21"/>
      <c r="FA60" s="254"/>
      <c r="FB60" s="23"/>
      <c r="FC60" s="23"/>
      <c r="FD60" s="252"/>
      <c r="FE60" s="23"/>
      <c r="FF60" s="23"/>
      <c r="FG60" s="23"/>
      <c r="FH60" s="23"/>
      <c r="FI60" s="23"/>
      <c r="FJ60" s="23"/>
      <c r="FK60" s="23"/>
      <c r="FL60" s="23"/>
      <c r="FM60" s="258"/>
      <c r="FN60" s="25"/>
      <c r="FO60" s="25"/>
      <c r="FP60" s="87"/>
      <c r="FQ60" s="25"/>
      <c r="FR60" s="25"/>
      <c r="FS60" s="25"/>
      <c r="FT60" s="25"/>
      <c r="FU60" s="25"/>
      <c r="FV60" s="25"/>
      <c r="FW60" s="25"/>
      <c r="FX60" s="25"/>
      <c r="FY60" s="401"/>
      <c r="FZ60" s="390"/>
      <c r="GA60" s="390"/>
      <c r="GB60" s="403"/>
      <c r="GC60" s="390"/>
      <c r="GD60" s="390"/>
      <c r="GE60" s="390"/>
      <c r="GF60" s="390"/>
      <c r="GG60" s="390"/>
      <c r="GH60" s="390"/>
      <c r="GI60" s="390"/>
      <c r="GJ60" s="390"/>
      <c r="GK60" s="267"/>
      <c r="GL60" s="27"/>
      <c r="GM60" s="27"/>
      <c r="GN60" s="90"/>
      <c r="GO60" s="27"/>
      <c r="GP60" s="27"/>
      <c r="GQ60" s="27"/>
      <c r="GR60" s="27"/>
      <c r="GS60" s="27"/>
      <c r="GT60" s="27"/>
      <c r="GU60" s="27"/>
      <c r="GV60" s="27"/>
      <c r="GW60" s="381"/>
      <c r="GX60" s="380"/>
      <c r="GY60" s="380"/>
      <c r="GZ60" s="383"/>
      <c r="HA60" s="380"/>
      <c r="HB60" s="380"/>
      <c r="HC60" s="380"/>
      <c r="HD60" s="380"/>
      <c r="HE60" s="380"/>
      <c r="HF60" s="380"/>
      <c r="HG60" s="380"/>
      <c r="HH60" s="380"/>
      <c r="HI60" s="271"/>
      <c r="HJ60" s="29"/>
      <c r="HK60" s="29"/>
      <c r="HL60" s="94"/>
      <c r="HM60" s="29"/>
      <c r="HN60" s="29"/>
      <c r="HO60" s="29"/>
      <c r="HP60" s="29"/>
      <c r="HQ60" s="29"/>
      <c r="HR60" s="29"/>
      <c r="HS60" s="29"/>
      <c r="HT60" s="29"/>
      <c r="HU60" s="277"/>
      <c r="HV60" s="31"/>
      <c r="HW60" s="31"/>
      <c r="HX60" s="99"/>
      <c r="HY60" s="31"/>
      <c r="HZ60" s="31"/>
      <c r="IA60" s="31"/>
      <c r="IB60" s="31"/>
      <c r="IC60" s="31"/>
      <c r="ID60" s="31"/>
      <c r="IE60" s="31"/>
      <c r="IF60" s="31"/>
    </row>
    <row r="61" spans="1:240" hidden="1">
      <c r="A61" s="68" t="str">
        <f>SUBSTITUTE(ADDRESS(1,COLUMN(J2),4),"1","")</f>
        <v>J</v>
      </c>
      <c r="B61" s="68" t="str">
        <f>SUBSTITUTE(ADDRESS(1,COLUMN(E2),4),"1","")</f>
        <v>E</v>
      </c>
      <c r="C61" s="6"/>
      <c r="D61" s="68" t="str">
        <f>SUBSTITUTE(ADDRESS(1,COLUMN(F2),4),"1","")</f>
        <v>F</v>
      </c>
      <c r="E61" s="6"/>
      <c r="F61" s="6"/>
      <c r="G61" s="6"/>
      <c r="H61" s="6"/>
      <c r="I61" s="6"/>
      <c r="J61" s="6"/>
      <c r="K61" s="6"/>
      <c r="L61" s="6"/>
      <c r="M61" s="383" t="str">
        <f>SUBSTITUTE(ADDRESS(1,COLUMN(V2),4),"1","")</f>
        <v>V</v>
      </c>
      <c r="N61" s="383" t="str">
        <f>SUBSTITUTE(ADDRESS(1,COLUMN(Q2),4),"1","")</f>
        <v>Q</v>
      </c>
      <c r="O61" s="380"/>
      <c r="P61" s="383" t="str">
        <f>SUBSTITUTE(ADDRESS(1,COLUMN(R2),4),"1","")</f>
        <v>R</v>
      </c>
      <c r="Q61" s="380"/>
      <c r="R61" s="380"/>
      <c r="S61" s="380"/>
      <c r="T61" s="380"/>
      <c r="U61" s="380"/>
      <c r="V61" s="380"/>
      <c r="W61" s="380"/>
      <c r="X61" s="380"/>
      <c r="Y61" s="419" t="str">
        <f>SUBSTITUTE(ADDRESS(1,COLUMN(AH2),4),"1","")</f>
        <v>AH</v>
      </c>
      <c r="Z61" s="419" t="str">
        <f>SUBSTITUTE(ADDRESS(1,COLUMN(AC2),4),"1","")</f>
        <v>AC</v>
      </c>
      <c r="AA61" s="412"/>
      <c r="AB61" s="419" t="str">
        <f>SUBSTITUTE(ADDRESS(1,COLUMN(AD2),4),"1","")</f>
        <v>AD</v>
      </c>
      <c r="AC61" s="412"/>
      <c r="AD61" s="412"/>
      <c r="AE61" s="412"/>
      <c r="AF61" s="412"/>
      <c r="AG61" s="412"/>
      <c r="AH61" s="412"/>
      <c r="AI61" s="412"/>
      <c r="AJ61" s="412"/>
      <c r="AK61" s="428" t="str">
        <f>SUBSTITUTE(ADDRESS(1,COLUMN(AT2),4),"1","")</f>
        <v>AT</v>
      </c>
      <c r="AL61" s="428" t="str">
        <f>SUBSTITUTE(ADDRESS(1,COLUMN(AO2),4),"1","")</f>
        <v>AO</v>
      </c>
      <c r="AM61" s="413"/>
      <c r="AN61" s="428" t="str">
        <f>SUBSTITUTE(ADDRESS(1,COLUMN(AP2),4),"1","")</f>
        <v>AP</v>
      </c>
      <c r="AO61" s="413"/>
      <c r="AP61" s="413"/>
      <c r="AQ61" s="413"/>
      <c r="AR61" s="413"/>
      <c r="AS61" s="413"/>
      <c r="AT61" s="413"/>
      <c r="AU61" s="413"/>
      <c r="AV61" s="413"/>
      <c r="AW61" s="73" t="str">
        <f>SUBSTITUTE(ADDRESS(1,COLUMN(BF2),4),"1","")</f>
        <v>BF</v>
      </c>
      <c r="AX61" s="73" t="str">
        <f>SUBSTITUTE(ADDRESS(1,COLUMN(BA2),4),"1","")</f>
        <v>BA</v>
      </c>
      <c r="AY61" s="9"/>
      <c r="AZ61" s="73" t="str">
        <f>SUBSTITUTE(ADDRESS(1,COLUMN(BB2),4),"1","")</f>
        <v>BB</v>
      </c>
      <c r="BA61" s="9"/>
      <c r="BB61" s="9"/>
      <c r="BC61" s="9"/>
      <c r="BD61" s="9"/>
      <c r="BE61" s="9"/>
      <c r="BF61" s="9"/>
      <c r="BG61" s="9"/>
      <c r="BH61" s="9"/>
      <c r="BI61" s="437" t="str">
        <f>SUBSTITUTE(ADDRESS(1,COLUMN(BR2),4),"1","")</f>
        <v>BR</v>
      </c>
      <c r="BJ61" s="437" t="str">
        <f>SUBSTITUTE(ADDRESS(1,COLUMN(BM2),4),"1","")</f>
        <v>BM</v>
      </c>
      <c r="BK61" s="414"/>
      <c r="BL61" s="437" t="str">
        <f>SUBSTITUTE(ADDRESS(1,COLUMN(BN2),4),"1","")</f>
        <v>BN</v>
      </c>
      <c r="BM61" s="414"/>
      <c r="BN61" s="414"/>
      <c r="BO61" s="414"/>
      <c r="BP61" s="414"/>
      <c r="BQ61" s="414"/>
      <c r="BR61" s="414"/>
      <c r="BS61" s="414"/>
      <c r="BT61" s="414"/>
      <c r="BU61" s="148" t="str">
        <f>SUBSTITUTE(ADDRESS(1,COLUMN(CD2),4),"1","")</f>
        <v>CD</v>
      </c>
      <c r="BV61" s="148" t="str">
        <f>SUBSTITUTE(ADDRESS(1,COLUMN(BY2),4),"1","")</f>
        <v>BY</v>
      </c>
      <c r="BW61" s="13"/>
      <c r="BX61" s="148" t="str">
        <f>SUBSTITUTE(ADDRESS(1,COLUMN(BZ2),4),"1","")</f>
        <v>BZ</v>
      </c>
      <c r="BY61" s="13"/>
      <c r="BZ61" s="13"/>
      <c r="CA61" s="13"/>
      <c r="CB61" s="13"/>
      <c r="CC61" s="13"/>
      <c r="CD61" s="13"/>
      <c r="CE61" s="13"/>
      <c r="CF61" s="13"/>
      <c r="CG61" s="395" t="str">
        <f>SUBSTITUTE(ADDRESS(1,COLUMN(CP2),4),"1","")</f>
        <v>CP</v>
      </c>
      <c r="CH61" s="395" t="str">
        <f>SUBSTITUTE(ADDRESS(1,COLUMN(CK2),4),"1","")</f>
        <v>CK</v>
      </c>
      <c r="CI61" s="14"/>
      <c r="CJ61" s="395" t="str">
        <f>SUBSTITUTE(ADDRESS(1,COLUMN(CL2),4),"1","")</f>
        <v>CL</v>
      </c>
      <c r="CK61" s="14"/>
      <c r="CL61" s="14"/>
      <c r="CM61" s="14"/>
      <c r="CN61" s="14"/>
      <c r="CO61" s="14"/>
      <c r="CP61" s="14"/>
      <c r="CQ61" s="14"/>
      <c r="CR61" s="14"/>
      <c r="CS61" s="232" t="str">
        <f>SUBSTITUTE(ADDRESS(1,COLUMN(DB2),4),"1","")</f>
        <v>DB</v>
      </c>
      <c r="CT61" s="232" t="str">
        <f>SUBSTITUTE(ADDRESS(1,COLUMN(CW2),4),"1","")</f>
        <v>CW</v>
      </c>
      <c r="CU61" s="17"/>
      <c r="CV61" s="232" t="str">
        <f>SUBSTITUTE(ADDRESS(1,COLUMN(CX2),4),"1","")</f>
        <v>CX</v>
      </c>
      <c r="CW61" s="17"/>
      <c r="CX61" s="17"/>
      <c r="CY61" s="17"/>
      <c r="CZ61" s="17"/>
      <c r="DA61" s="17"/>
      <c r="DB61" s="17"/>
      <c r="DC61" s="17"/>
      <c r="DD61" s="17"/>
      <c r="DE61" s="445" t="str">
        <f>SUBSTITUTE(ADDRESS(1,COLUMN(DN2),4),"1","")</f>
        <v>DN</v>
      </c>
      <c r="DF61" s="445" t="str">
        <f>SUBSTITUTE(ADDRESS(1,COLUMN(DI2),4),"1","")</f>
        <v>DI</v>
      </c>
      <c r="DG61" s="143"/>
      <c r="DH61" s="445" t="str">
        <f>SUBSTITUTE(ADDRESS(1,COLUMN(DJ2),4),"1","")</f>
        <v>DJ</v>
      </c>
      <c r="DI61" s="143"/>
      <c r="DJ61" s="143"/>
      <c r="DK61" s="143"/>
      <c r="DL61" s="143"/>
      <c r="DM61" s="143"/>
      <c r="DN61" s="143"/>
      <c r="DO61" s="143"/>
      <c r="DP61" s="143"/>
      <c r="DQ61" s="383" t="str">
        <f>SUBSTITUTE(ADDRESS(1,COLUMN(DZ2),4),"1","")</f>
        <v>DZ</v>
      </c>
      <c r="DR61" s="383" t="str">
        <f>SUBSTITUTE(ADDRESS(1,COLUMN(DU2),4),"1","")</f>
        <v>DU</v>
      </c>
      <c r="DS61" s="380"/>
      <c r="DT61" s="383" t="str">
        <f>SUBSTITUTE(ADDRESS(1,COLUMN(DV2),4),"1","")</f>
        <v>DV</v>
      </c>
      <c r="DU61" s="380"/>
      <c r="DV61" s="380"/>
      <c r="DW61" s="380"/>
      <c r="DX61" s="380"/>
      <c r="DY61" s="380"/>
      <c r="DZ61" s="380"/>
      <c r="EA61" s="380"/>
      <c r="EB61" s="380"/>
      <c r="EC61" s="209" t="str">
        <f>SUBSTITUTE(ADDRESS(1,COLUMN(EL2),4),"1","")</f>
        <v>EL</v>
      </c>
      <c r="ED61" s="209" t="str">
        <f>SUBSTITUTE(ADDRESS(1,COLUMN(EG2),4),"1","")</f>
        <v>EG</v>
      </c>
      <c r="EE61" s="19"/>
      <c r="EF61" s="209" t="str">
        <f>SUBSTITUTE(ADDRESS(1,COLUMN(EH2),4),"1","")</f>
        <v>EH</v>
      </c>
      <c r="EG61" s="19"/>
      <c r="EH61" s="19"/>
      <c r="EI61" s="19"/>
      <c r="EJ61" s="19"/>
      <c r="EK61" s="19"/>
      <c r="EL61" s="19"/>
      <c r="EM61" s="19"/>
      <c r="EN61" s="19"/>
      <c r="EO61" s="82" t="str">
        <f>SUBSTITUTE(ADDRESS(1,COLUMN(EX2),4),"1","")</f>
        <v>EX</v>
      </c>
      <c r="EP61" s="82" t="str">
        <f>SUBSTITUTE(ADDRESS(1,COLUMN(ES2),4),"1","")</f>
        <v>ES</v>
      </c>
      <c r="EQ61" s="21"/>
      <c r="ER61" s="82" t="str">
        <f>SUBSTITUTE(ADDRESS(1,COLUMN(ET2),4),"1","")</f>
        <v>ET</v>
      </c>
      <c r="ES61" s="21"/>
      <c r="ET61" s="21"/>
      <c r="EU61" s="21"/>
      <c r="EV61" s="21"/>
      <c r="EW61" s="21"/>
      <c r="EX61" s="21"/>
      <c r="EY61" s="21"/>
      <c r="EZ61" s="21"/>
      <c r="FA61" s="252" t="str">
        <f>SUBSTITUTE(ADDRESS(1,COLUMN(FJ2),4),"1","")</f>
        <v>FJ</v>
      </c>
      <c r="FB61" s="252" t="str">
        <f>SUBSTITUTE(ADDRESS(1,COLUMN(FE2),4),"1","")</f>
        <v>FE</v>
      </c>
      <c r="FC61" s="23"/>
      <c r="FD61" s="252" t="str">
        <f>SUBSTITUTE(ADDRESS(1,COLUMN(FF2),4),"1","")</f>
        <v>FF</v>
      </c>
      <c r="FE61" s="23"/>
      <c r="FF61" s="23"/>
      <c r="FG61" s="23"/>
      <c r="FH61" s="23"/>
      <c r="FI61" s="23"/>
      <c r="FJ61" s="23"/>
      <c r="FK61" s="23"/>
      <c r="FL61" s="23"/>
      <c r="FM61" s="87" t="str">
        <f>SUBSTITUTE(ADDRESS(1,COLUMN(FV2),4),"1","")</f>
        <v>FV</v>
      </c>
      <c r="FN61" s="87" t="str">
        <f>SUBSTITUTE(ADDRESS(1,COLUMN(FQ2),4),"1","")</f>
        <v>FQ</v>
      </c>
      <c r="FO61" s="25"/>
      <c r="FP61" s="87" t="str">
        <f>SUBSTITUTE(ADDRESS(1,COLUMN(FR2),4),"1","")</f>
        <v>FR</v>
      </c>
      <c r="FQ61" s="25"/>
      <c r="FR61" s="25"/>
      <c r="FS61" s="25"/>
      <c r="FT61" s="25"/>
      <c r="FU61" s="25"/>
      <c r="FV61" s="25"/>
      <c r="FW61" s="25"/>
      <c r="FX61" s="25"/>
      <c r="FY61" s="403" t="str">
        <f>SUBSTITUTE(ADDRESS(1,COLUMN(GH2),4),"1","")</f>
        <v>GH</v>
      </c>
      <c r="FZ61" s="403" t="str">
        <f>SUBSTITUTE(ADDRESS(1,COLUMN(GC2),4),"1","")</f>
        <v>GC</v>
      </c>
      <c r="GA61" s="390"/>
      <c r="GB61" s="403" t="str">
        <f>SUBSTITUTE(ADDRESS(1,COLUMN(GD2),4),"1","")</f>
        <v>GD</v>
      </c>
      <c r="GC61" s="390"/>
      <c r="GD61" s="390"/>
      <c r="GE61" s="390"/>
      <c r="GF61" s="390"/>
      <c r="GG61" s="390"/>
      <c r="GH61" s="390"/>
      <c r="GI61" s="390"/>
      <c r="GJ61" s="390"/>
      <c r="GK61" s="90" t="str">
        <f>SUBSTITUTE(ADDRESS(1,COLUMN(GT2),4),"1","")</f>
        <v>GT</v>
      </c>
      <c r="GL61" s="90" t="str">
        <f>SUBSTITUTE(ADDRESS(1,COLUMN(GO2),4),"1","")</f>
        <v>GO</v>
      </c>
      <c r="GM61" s="27"/>
      <c r="GN61" s="90" t="str">
        <f>SUBSTITUTE(ADDRESS(1,COLUMN(GP2),4),"1","")</f>
        <v>GP</v>
      </c>
      <c r="GO61" s="27"/>
      <c r="GP61" s="27"/>
      <c r="GQ61" s="27"/>
      <c r="GR61" s="27"/>
      <c r="GS61" s="27"/>
      <c r="GT61" s="27"/>
      <c r="GU61" s="27"/>
      <c r="GV61" s="27"/>
      <c r="GW61" s="383" t="str">
        <f>SUBSTITUTE(ADDRESS(1,COLUMN(HF2),4),"1","")</f>
        <v>HF</v>
      </c>
      <c r="GX61" s="383" t="str">
        <f>SUBSTITUTE(ADDRESS(1,COLUMN(HA2),4),"1","")</f>
        <v>HA</v>
      </c>
      <c r="GY61" s="380"/>
      <c r="GZ61" s="383" t="str">
        <f>SUBSTITUTE(ADDRESS(1,COLUMN(HB2),4),"1","")</f>
        <v>HB</v>
      </c>
      <c r="HA61" s="380"/>
      <c r="HB61" s="380"/>
      <c r="HC61" s="380"/>
      <c r="HD61" s="380"/>
      <c r="HE61" s="380"/>
      <c r="HF61" s="380"/>
      <c r="HG61" s="380"/>
      <c r="HH61" s="380"/>
      <c r="HI61" s="94" t="str">
        <f>SUBSTITUTE(ADDRESS(1,COLUMN(HR2),4),"1","")</f>
        <v>HR</v>
      </c>
      <c r="HJ61" s="94" t="str">
        <f>SUBSTITUTE(ADDRESS(1,COLUMN(HM2),4),"1","")</f>
        <v>HM</v>
      </c>
      <c r="HK61" s="29"/>
      <c r="HL61" s="94" t="str">
        <f>SUBSTITUTE(ADDRESS(1,COLUMN(HN2),4),"1","")</f>
        <v>HN</v>
      </c>
      <c r="HM61" s="29"/>
      <c r="HN61" s="29"/>
      <c r="HO61" s="29"/>
      <c r="HP61" s="29"/>
      <c r="HQ61" s="29"/>
      <c r="HR61" s="29"/>
      <c r="HS61" s="29"/>
      <c r="HT61" s="29"/>
      <c r="HU61" s="99" t="str">
        <f>SUBSTITUTE(ADDRESS(1,COLUMN(ID2),4),"1","")</f>
        <v>ID</v>
      </c>
      <c r="HV61" s="99" t="str">
        <f>SUBSTITUTE(ADDRESS(1,COLUMN(HY2),4),"1","")</f>
        <v>HY</v>
      </c>
      <c r="HW61" s="31"/>
      <c r="HX61" s="99" t="str">
        <f>SUBSTITUTE(ADDRESS(1,COLUMN(HZ2),4),"1","")</f>
        <v>HZ</v>
      </c>
      <c r="HY61" s="31"/>
      <c r="HZ61" s="31"/>
      <c r="IA61" s="31"/>
      <c r="IB61" s="31"/>
      <c r="IC61" s="31"/>
      <c r="ID61" s="31"/>
      <c r="IE61" s="31"/>
      <c r="IF61" s="31"/>
    </row>
    <row r="62" spans="1:240">
      <c r="A62" s="68" t="str">
        <f>Dashboard!D1 &amp; " Time"</f>
        <v>London Time</v>
      </c>
      <c r="B62" s="6"/>
      <c r="C62" s="6"/>
      <c r="D62" s="68" t="s">
        <v>442</v>
      </c>
      <c r="E62" s="6"/>
      <c r="F62" s="6"/>
      <c r="G62" s="66"/>
      <c r="H62" s="6"/>
      <c r="I62" s="6"/>
      <c r="J62" s="6"/>
      <c r="K62" s="66"/>
      <c r="L62" s="6"/>
      <c r="M62" s="383" t="str">
        <f>Dashboard!D1 &amp; " Time"</f>
        <v>London Time</v>
      </c>
      <c r="N62" s="380"/>
      <c r="O62" s="388"/>
      <c r="P62" s="383" t="s">
        <v>442</v>
      </c>
      <c r="Q62" s="380"/>
      <c r="R62" s="380"/>
      <c r="S62" s="382"/>
      <c r="T62" s="380"/>
      <c r="U62" s="380"/>
      <c r="V62" s="380"/>
      <c r="W62" s="382"/>
      <c r="X62" s="380"/>
      <c r="Y62" s="419" t="str">
        <f>Dashboard!D1 &amp; " Time"</f>
        <v>London Time</v>
      </c>
      <c r="Z62" s="412"/>
      <c r="AA62" s="412"/>
      <c r="AB62" s="419" t="s">
        <v>442</v>
      </c>
      <c r="AC62" s="412"/>
      <c r="AD62" s="412"/>
      <c r="AE62" s="418"/>
      <c r="AF62" s="412"/>
      <c r="AG62" s="412"/>
      <c r="AH62" s="412"/>
      <c r="AI62" s="418"/>
      <c r="AJ62" s="412"/>
      <c r="AK62" s="428" t="str">
        <f>Dashboard!D1 &amp; " Time"</f>
        <v>London Time</v>
      </c>
      <c r="AL62" s="413"/>
      <c r="AM62" s="413"/>
      <c r="AN62" s="428" t="s">
        <v>442</v>
      </c>
      <c r="AO62" s="413"/>
      <c r="AP62" s="413"/>
      <c r="AQ62" s="427"/>
      <c r="AR62" s="413"/>
      <c r="AS62" s="413"/>
      <c r="AT62" s="413"/>
      <c r="AU62" s="427"/>
      <c r="AV62" s="413"/>
      <c r="AW62" s="73" t="str">
        <f>Dashboard!D1 &amp; " Time"</f>
        <v>London Time</v>
      </c>
      <c r="AX62" s="9"/>
      <c r="AY62" s="9"/>
      <c r="AZ62" s="73" t="s">
        <v>442</v>
      </c>
      <c r="BA62" s="9"/>
      <c r="BB62" s="9"/>
      <c r="BC62" s="71"/>
      <c r="BD62" s="9"/>
      <c r="BE62" s="9"/>
      <c r="BF62" s="9"/>
      <c r="BG62" s="71"/>
      <c r="BH62" s="9"/>
      <c r="BI62" s="437" t="str">
        <f>Dashboard!D1 &amp; " Time"</f>
        <v>London Time</v>
      </c>
      <c r="BJ62" s="414"/>
      <c r="BK62" s="414"/>
      <c r="BL62" s="437" t="s">
        <v>442</v>
      </c>
      <c r="BM62" s="414"/>
      <c r="BN62" s="414"/>
      <c r="BO62" s="436"/>
      <c r="BP62" s="414"/>
      <c r="BQ62" s="414"/>
      <c r="BR62" s="414"/>
      <c r="BS62" s="436"/>
      <c r="BT62" s="414"/>
      <c r="BU62" s="148" t="str">
        <f>Dashboard!D1 &amp; " Time"</f>
        <v>London Time</v>
      </c>
      <c r="BV62" s="13"/>
      <c r="BW62" s="13"/>
      <c r="BX62" s="148" t="s">
        <v>442</v>
      </c>
      <c r="BY62" s="13"/>
      <c r="BZ62" s="13"/>
      <c r="CA62" s="146"/>
      <c r="CB62" s="13"/>
      <c r="CC62" s="13"/>
      <c r="CD62" s="13"/>
      <c r="CE62" s="146"/>
      <c r="CF62" s="13"/>
      <c r="CG62" s="395" t="str">
        <f>Dashboard!D1 &amp; " Time"</f>
        <v>London Time</v>
      </c>
      <c r="CH62" s="14"/>
      <c r="CI62" s="14"/>
      <c r="CJ62" s="395" t="s">
        <v>442</v>
      </c>
      <c r="CK62" s="14"/>
      <c r="CL62" s="14"/>
      <c r="CM62" s="394"/>
      <c r="CN62" s="14"/>
      <c r="CO62" s="14"/>
      <c r="CP62" s="14"/>
      <c r="CQ62" s="394"/>
      <c r="CR62" s="14"/>
      <c r="CS62" s="232" t="str">
        <f>Dashboard!D1 &amp; " Time"</f>
        <v>London Time</v>
      </c>
      <c r="CT62" s="17"/>
      <c r="CU62" s="17"/>
      <c r="CV62" s="232" t="s">
        <v>442</v>
      </c>
      <c r="CW62" s="17"/>
      <c r="CX62" s="17"/>
      <c r="CY62" s="231"/>
      <c r="CZ62" s="17"/>
      <c r="DA62" s="17"/>
      <c r="DB62" s="17"/>
      <c r="DC62" s="231"/>
      <c r="DD62" s="17"/>
      <c r="DE62" s="445" t="str">
        <f>Dashboard!D1 &amp; " Time"</f>
        <v>London Time</v>
      </c>
      <c r="DF62" s="143"/>
      <c r="DG62" s="143"/>
      <c r="DH62" s="445" t="s">
        <v>442</v>
      </c>
      <c r="DI62" s="143"/>
      <c r="DJ62" s="143"/>
      <c r="DK62" s="444"/>
      <c r="DL62" s="143"/>
      <c r="DM62" s="143"/>
      <c r="DN62" s="143"/>
      <c r="DO62" s="444"/>
      <c r="DP62" s="143"/>
      <c r="DQ62" s="383" t="str">
        <f>Dashboard!D1 &amp; " Time"</f>
        <v>London Time</v>
      </c>
      <c r="DR62" s="380"/>
      <c r="DS62" s="380"/>
      <c r="DT62" s="383" t="s">
        <v>442</v>
      </c>
      <c r="DU62" s="380"/>
      <c r="DV62" s="380"/>
      <c r="DW62" s="382"/>
      <c r="DX62" s="380"/>
      <c r="DY62" s="380"/>
      <c r="DZ62" s="380"/>
      <c r="EA62" s="382"/>
      <c r="EB62" s="380"/>
      <c r="EC62" s="209" t="str">
        <f>Dashboard!D1 &amp; " Time"</f>
        <v>London Time</v>
      </c>
      <c r="ED62" s="19"/>
      <c r="EE62" s="19"/>
      <c r="EF62" s="209" t="s">
        <v>442</v>
      </c>
      <c r="EG62" s="19"/>
      <c r="EH62" s="19"/>
      <c r="EI62" s="207"/>
      <c r="EJ62" s="19"/>
      <c r="EK62" s="19"/>
      <c r="EL62" s="19"/>
      <c r="EM62" s="207"/>
      <c r="EN62" s="19"/>
      <c r="EO62" s="82" t="str">
        <f>Dashboard!D1 &amp; " Time"</f>
        <v>London Time</v>
      </c>
      <c r="EP62" s="21"/>
      <c r="EQ62" s="21"/>
      <c r="ER62" s="82" t="s">
        <v>442</v>
      </c>
      <c r="ES62" s="21"/>
      <c r="ET62" s="21"/>
      <c r="EU62" s="80"/>
      <c r="EV62" s="21"/>
      <c r="EW62" s="21"/>
      <c r="EX62" s="21"/>
      <c r="EY62" s="80"/>
      <c r="EZ62" s="21"/>
      <c r="FA62" s="252" t="str">
        <f>Dashboard!D1 &amp; " Time"</f>
        <v>London Time</v>
      </c>
      <c r="FB62" s="23"/>
      <c r="FC62" s="23"/>
      <c r="FD62" s="252" t="s">
        <v>442</v>
      </c>
      <c r="FE62" s="23"/>
      <c r="FF62" s="23"/>
      <c r="FG62" s="251"/>
      <c r="FH62" s="23"/>
      <c r="FI62" s="23"/>
      <c r="FJ62" s="23"/>
      <c r="FK62" s="251"/>
      <c r="FL62" s="23"/>
      <c r="FM62" s="87" t="str">
        <f>Dashboard!D1 &amp; " Time"</f>
        <v>London Time</v>
      </c>
      <c r="FN62" s="25"/>
      <c r="FO62" s="25"/>
      <c r="FP62" s="87" t="s">
        <v>442</v>
      </c>
      <c r="FQ62" s="25"/>
      <c r="FR62" s="25"/>
      <c r="FS62" s="85"/>
      <c r="FT62" s="25"/>
      <c r="FU62" s="25"/>
      <c r="FV62" s="25"/>
      <c r="FW62" s="85"/>
      <c r="FX62" s="25"/>
      <c r="FY62" s="403" t="str">
        <f>Dashboard!D1 &amp; " Time"</f>
        <v>London Time</v>
      </c>
      <c r="FZ62" s="390"/>
      <c r="GA62" s="390"/>
      <c r="GB62" s="403" t="s">
        <v>442</v>
      </c>
      <c r="GC62" s="390"/>
      <c r="GD62" s="390"/>
      <c r="GE62" s="402"/>
      <c r="GF62" s="390"/>
      <c r="GG62" s="390"/>
      <c r="GH62" s="390"/>
      <c r="GI62" s="402"/>
      <c r="GJ62" s="390"/>
      <c r="GK62" s="90" t="str">
        <f>Dashboard!D1 &amp; " Time"</f>
        <v>London Time</v>
      </c>
      <c r="GL62" s="27"/>
      <c r="GM62" s="27"/>
      <c r="GN62" s="90" t="s">
        <v>442</v>
      </c>
      <c r="GO62" s="27"/>
      <c r="GP62" s="27"/>
      <c r="GQ62" s="89"/>
      <c r="GR62" s="27"/>
      <c r="GS62" s="27"/>
      <c r="GT62" s="27"/>
      <c r="GU62" s="89"/>
      <c r="GV62" s="27"/>
      <c r="GW62" s="383" t="str">
        <f>Dashboard!D1 &amp; " Time"</f>
        <v>London Time</v>
      </c>
      <c r="GX62" s="380"/>
      <c r="GY62" s="380"/>
      <c r="GZ62" s="383" t="s">
        <v>442</v>
      </c>
      <c r="HA62" s="380"/>
      <c r="HB62" s="380"/>
      <c r="HC62" s="382"/>
      <c r="HD62" s="380"/>
      <c r="HE62" s="380"/>
      <c r="HF62" s="380"/>
      <c r="HG62" s="382"/>
      <c r="HH62" s="380"/>
      <c r="HI62" s="94" t="str">
        <f>Dashboard!D1 &amp; " Time"</f>
        <v>London Time</v>
      </c>
      <c r="HJ62" s="29"/>
      <c r="HK62" s="29"/>
      <c r="HL62" s="94" t="s">
        <v>442</v>
      </c>
      <c r="HM62" s="29"/>
      <c r="HN62" s="29"/>
      <c r="HO62" s="92"/>
      <c r="HP62" s="29"/>
      <c r="HQ62" s="29"/>
      <c r="HR62" s="29"/>
      <c r="HS62" s="92"/>
      <c r="HT62" s="29"/>
      <c r="HU62" s="99" t="str">
        <f>Dashboard!D1 &amp; " Time"</f>
        <v>London Time</v>
      </c>
      <c r="HV62" s="31"/>
      <c r="HW62" s="31"/>
      <c r="HX62" s="99" t="s">
        <v>442</v>
      </c>
      <c r="HY62" s="31"/>
      <c r="HZ62" s="31"/>
      <c r="IA62" s="97"/>
      <c r="IB62" s="31"/>
      <c r="IC62" s="31"/>
      <c r="ID62" s="31"/>
      <c r="IE62" s="97"/>
      <c r="IF62" s="31"/>
    </row>
    <row r="63" spans="1:240">
      <c r="E63" s="301"/>
      <c r="O63" s="112"/>
    </row>
    <row r="65" spans="1:5">
      <c r="E65" s="301"/>
    </row>
    <row r="66" spans="1:5">
      <c r="A66" s="319" t="s">
        <v>180</v>
      </c>
      <c r="E66" s="320">
        <v>45862.011805555558</v>
      </c>
    </row>
    <row r="76" spans="1:5">
      <c r="E76" s="320"/>
    </row>
    <row r="789" spans="1:239">
      <c r="K789" s="105">
        <f ca="1">$B$792</f>
        <v>0</v>
      </c>
      <c r="W789" s="105">
        <f ca="1">$N$792</f>
        <v>0</v>
      </c>
      <c r="AI789" s="105">
        <f ca="1">$Z$792</f>
        <v>0</v>
      </c>
      <c r="AU789" s="105">
        <f ca="1">$AL$792</f>
        <v>0</v>
      </c>
      <c r="BG789" s="105">
        <f ca="1">$AX$792</f>
        <v>0</v>
      </c>
      <c r="BS789" s="105">
        <f ca="1">$BJ$792</f>
        <v>0</v>
      </c>
      <c r="CE789" s="105">
        <f ca="1">$BV$792</f>
        <v>0</v>
      </c>
      <c r="CQ789" s="105">
        <f ca="1">$CH$792</f>
        <v>0</v>
      </c>
      <c r="DC789" s="105">
        <f ca="1">$CT$792</f>
        <v>0</v>
      </c>
      <c r="DO789" s="105">
        <f ca="1">$DF$792</f>
        <v>0</v>
      </c>
      <c r="EA789" s="105">
        <f ca="1">$DR$792</f>
        <v>0</v>
      </c>
      <c r="EM789" s="105">
        <f ca="1">$ED$792</f>
        <v>0</v>
      </c>
      <c r="EY789" s="105">
        <f ca="1">$EP$792</f>
        <v>0</v>
      </c>
      <c r="FK789" s="105">
        <f ca="1">$FB$792</f>
        <v>0</v>
      </c>
      <c r="FW789" s="105">
        <f ca="1">$FN$792</f>
        <v>0</v>
      </c>
      <c r="GI789" s="105">
        <f ca="1">$FZ$792</f>
        <v>0</v>
      </c>
      <c r="GU789" s="105">
        <f ca="1">$GL$792</f>
        <v>0</v>
      </c>
      <c r="HG789" s="105">
        <f ca="1">$GX$792</f>
        <v>0</v>
      </c>
      <c r="HS789" s="105">
        <f ca="1">$HJ$792</f>
        <v>0</v>
      </c>
      <c r="IE789" s="105">
        <f ca="1">$HV$792</f>
        <v>0</v>
      </c>
    </row>
    <row r="790" spans="1:239">
      <c r="K790" s="105">
        <f>tableTmp!$A$2</f>
        <v>1</v>
      </c>
      <c r="W790" s="105">
        <f>tableTmp!$A$3</f>
        <v>2</v>
      </c>
      <c r="AI790" s="105">
        <f>tableTmp!$A$4</f>
        <v>3</v>
      </c>
      <c r="AU790" s="105">
        <f>tableTmp!$A$5</f>
        <v>4</v>
      </c>
      <c r="BG790" s="105">
        <f>tableTmp!$A$6</f>
        <v>5</v>
      </c>
      <c r="BS790" s="105">
        <f>tableTmp!$A$7</f>
        <v>6</v>
      </c>
      <c r="CE790" s="105">
        <f>tableTmp!$A$8</f>
        <v>7</v>
      </c>
      <c r="CQ790" s="105">
        <f>tableTmp!$A$9</f>
        <v>8</v>
      </c>
      <c r="DC790" s="105">
        <f>tableTmp!$A$10</f>
        <v>9</v>
      </c>
      <c r="DO790" s="105">
        <f>tableTmp!$A$11</f>
        <v>10</v>
      </c>
      <c r="EA790" s="105">
        <f>tableTmp!$A$12</f>
        <v>11</v>
      </c>
      <c r="EM790" s="105">
        <f>tableTmp!$A$13</f>
        <v>12</v>
      </c>
      <c r="EY790" s="105">
        <f>tableTmp!$A$14</f>
        <v>13</v>
      </c>
      <c r="FK790" s="105">
        <f>tableTmp!$A$15</f>
        <v>14</v>
      </c>
      <c r="FW790" s="105">
        <f>tableTmp!$A$16</f>
        <v>15</v>
      </c>
      <c r="GI790" s="105">
        <f>tableTmp!$A$17</f>
        <v>16</v>
      </c>
      <c r="GU790" s="105">
        <f>tableTmp!$A$18</f>
        <v>17</v>
      </c>
      <c r="HG790" s="105">
        <f>tableTmp!$A$19</f>
        <v>18</v>
      </c>
      <c r="HS790" s="105">
        <f>tableTmp!$A$20</f>
        <v>19</v>
      </c>
      <c r="IE790" s="105">
        <f>tableTmp!$A$21</f>
        <v>20</v>
      </c>
    </row>
    <row r="791" spans="1:239" hidden="1">
      <c r="A791" s="321" t="s">
        <v>94</v>
      </c>
      <c r="M791" s="321" t="s">
        <v>94</v>
      </c>
      <c r="Y791" s="321" t="s">
        <v>94</v>
      </c>
      <c r="AK791" s="321" t="s">
        <v>94</v>
      </c>
      <c r="AW791" s="321" t="s">
        <v>94</v>
      </c>
      <c r="BI791" s="321" t="s">
        <v>94</v>
      </c>
      <c r="BU791" s="321" t="s">
        <v>94</v>
      </c>
      <c r="CG791" s="321" t="s">
        <v>94</v>
      </c>
      <c r="CS791" s="321" t="s">
        <v>94</v>
      </c>
      <c r="DE791" s="321" t="s">
        <v>94</v>
      </c>
      <c r="DQ791" s="321" t="s">
        <v>94</v>
      </c>
      <c r="EC791" s="321" t="s">
        <v>94</v>
      </c>
      <c r="EO791" s="321" t="s">
        <v>94</v>
      </c>
      <c r="FA791" s="321" t="s">
        <v>94</v>
      </c>
      <c r="FM791" s="321" t="s">
        <v>94</v>
      </c>
      <c r="FY791" s="321" t="s">
        <v>94</v>
      </c>
      <c r="GK791" s="321" t="s">
        <v>94</v>
      </c>
      <c r="GW791" s="321" t="s">
        <v>94</v>
      </c>
      <c r="HI791" s="321" t="s">
        <v>94</v>
      </c>
      <c r="HU791" s="321" t="s">
        <v>94</v>
      </c>
    </row>
    <row r="792" spans="1:239" hidden="1">
      <c r="A792" s="321" t="s">
        <v>177</v>
      </c>
      <c r="B792" s="105">
        <f ca="1">3*B794+B795</f>
        <v>0</v>
      </c>
      <c r="D792" s="321" t="s">
        <v>101</v>
      </c>
      <c r="E792" s="105" t="e">
        <f ca="1">SUM(G2:G789)</f>
        <v>#N/A</v>
      </c>
      <c r="G792" s="105">
        <f ca="1">INDIRECT(A$799&amp;J792)</f>
        <v>3</v>
      </c>
      <c r="J792" s="105">
        <f ca="1">LOOKUP(2,1 / (J2:J788&lt;&gt; ""),ROW(J2:J788))</f>
        <v>59</v>
      </c>
      <c r="M792" s="321" t="s">
        <v>177</v>
      </c>
      <c r="N792" s="105">
        <f ca="1">3*N794+N795</f>
        <v>0</v>
      </c>
      <c r="P792" s="321" t="s">
        <v>101</v>
      </c>
      <c r="Q792" s="105" t="e">
        <f ca="1">SUM(S2:S789)</f>
        <v>#N/A</v>
      </c>
      <c r="S792" s="105">
        <f ca="1">INDIRECT(M$799&amp;V792)</f>
        <v>3</v>
      </c>
      <c r="V792" s="105">
        <f ca="1">LOOKUP(2,1 / (V2:V788&lt;&gt; ""),ROW(V2:V788))</f>
        <v>59</v>
      </c>
      <c r="Y792" s="321" t="s">
        <v>177</v>
      </c>
      <c r="Z792" s="105">
        <f ca="1">3*Z794+Z795</f>
        <v>0</v>
      </c>
      <c r="AB792" s="321" t="s">
        <v>101</v>
      </c>
      <c r="AC792" s="105" t="e">
        <f ca="1">SUM(AE2:AE789)</f>
        <v>#N/A</v>
      </c>
      <c r="AE792" s="105">
        <f ca="1">INDIRECT(Y$799&amp;AH792)</f>
        <v>3</v>
      </c>
      <c r="AH792" s="105">
        <f ca="1">LOOKUP(2,1 / (AH2:AH788&lt;&gt; ""),ROW(AH2:AH788))</f>
        <v>59</v>
      </c>
      <c r="AK792" s="321" t="s">
        <v>177</v>
      </c>
      <c r="AL792" s="105">
        <f ca="1">3*AL794+AL795</f>
        <v>0</v>
      </c>
      <c r="AN792" s="321" t="s">
        <v>101</v>
      </c>
      <c r="AO792" s="105" t="e">
        <f ca="1">SUM(AQ2:AQ789)</f>
        <v>#N/A</v>
      </c>
      <c r="AQ792" s="105">
        <f ca="1">INDIRECT(AK$799&amp;AT792)</f>
        <v>3</v>
      </c>
      <c r="AT792" s="105">
        <f ca="1">LOOKUP(2,1 / (AT2:AT788&lt;&gt; ""),ROW(AT2:AT788))</f>
        <v>59</v>
      </c>
      <c r="AW792" s="321" t="s">
        <v>177</v>
      </c>
      <c r="AX792" s="105">
        <f ca="1">3*AX794+AX795</f>
        <v>0</v>
      </c>
      <c r="AZ792" s="321" t="s">
        <v>101</v>
      </c>
      <c r="BA792" s="105" t="e">
        <f ca="1">SUM(BC2:BC789)</f>
        <v>#N/A</v>
      </c>
      <c r="BC792" s="105">
        <f ca="1">INDIRECT(AW$799&amp;BF792)</f>
        <v>3</v>
      </c>
      <c r="BF792" s="105">
        <f ca="1">LOOKUP(2,1 / (BF2:BF788&lt;&gt; ""),ROW(BF2:BF788))</f>
        <v>59</v>
      </c>
      <c r="BI792" s="321" t="s">
        <v>177</v>
      </c>
      <c r="BJ792" s="105">
        <f ca="1">3*BJ794+BJ795</f>
        <v>0</v>
      </c>
      <c r="BL792" s="321" t="s">
        <v>101</v>
      </c>
      <c r="BM792" s="105" t="e">
        <f ca="1">SUM(BO2:BO789)</f>
        <v>#N/A</v>
      </c>
      <c r="BO792" s="105">
        <f ca="1">INDIRECT(BI$799&amp;BR792)</f>
        <v>3</v>
      </c>
      <c r="BR792" s="105">
        <f ca="1">LOOKUP(2,1 / (BR2:BR788&lt;&gt; ""),ROW(BR2:BR788))</f>
        <v>59</v>
      </c>
      <c r="BU792" s="321" t="s">
        <v>177</v>
      </c>
      <c r="BV792" s="105">
        <f ca="1">3*BV794+BV795</f>
        <v>0</v>
      </c>
      <c r="BX792" s="321" t="s">
        <v>101</v>
      </c>
      <c r="BY792" s="105" t="e">
        <f ca="1">SUM(CA2:CA789)</f>
        <v>#N/A</v>
      </c>
      <c r="CA792" s="105">
        <f ca="1">INDIRECT(BU$799&amp;CD792)</f>
        <v>3</v>
      </c>
      <c r="CD792" s="105">
        <f ca="1">LOOKUP(2,1 / (CD2:CD788&lt;&gt; ""),ROW(CD2:CD788))</f>
        <v>59</v>
      </c>
      <c r="CG792" s="321" t="s">
        <v>177</v>
      </c>
      <c r="CH792" s="105">
        <f ca="1">3*CH794+CH795</f>
        <v>0</v>
      </c>
      <c r="CJ792" s="321" t="s">
        <v>101</v>
      </c>
      <c r="CK792" s="105" t="e">
        <f ca="1">SUM(CM2:CM789)</f>
        <v>#N/A</v>
      </c>
      <c r="CM792" s="105">
        <f ca="1">INDIRECT(CG$799&amp;CP792)</f>
        <v>3</v>
      </c>
      <c r="CP792" s="105">
        <f ca="1">LOOKUP(2,1 / (CP2:CP788&lt;&gt; ""),ROW(CP2:CP788))</f>
        <v>59</v>
      </c>
      <c r="CS792" s="321" t="s">
        <v>177</v>
      </c>
      <c r="CT792" s="105">
        <f ca="1">3*CT794+CT795</f>
        <v>0</v>
      </c>
      <c r="CV792" s="321" t="s">
        <v>101</v>
      </c>
      <c r="CW792" s="105" t="e">
        <f ca="1">SUM(CY2:CY789)</f>
        <v>#N/A</v>
      </c>
      <c r="CY792" s="105">
        <f ca="1">INDIRECT(CS$799&amp;DB792)</f>
        <v>3</v>
      </c>
      <c r="DB792" s="105">
        <f ca="1">LOOKUP(2,1 / (DB2:DB788&lt;&gt; ""),ROW(DB2:DB788))</f>
        <v>59</v>
      </c>
      <c r="DE792" s="321" t="s">
        <v>177</v>
      </c>
      <c r="DF792" s="105">
        <f ca="1">3*DF794+DF795</f>
        <v>0</v>
      </c>
      <c r="DH792" s="321" t="s">
        <v>101</v>
      </c>
      <c r="DI792" s="105" t="e">
        <f ca="1">SUM(DK2:DK789)</f>
        <v>#N/A</v>
      </c>
      <c r="DK792" s="105">
        <f ca="1">INDIRECT(DE$799&amp;DN792)</f>
        <v>3</v>
      </c>
      <c r="DN792" s="105">
        <f ca="1">LOOKUP(2,1 / (DN2:DN788&lt;&gt; ""),ROW(DN2:DN788))</f>
        <v>59</v>
      </c>
      <c r="DQ792" s="321" t="s">
        <v>177</v>
      </c>
      <c r="DR792" s="105">
        <f ca="1">3*DR794+DR795</f>
        <v>0</v>
      </c>
      <c r="DT792" s="321" t="s">
        <v>101</v>
      </c>
      <c r="DU792" s="105" t="e">
        <f ca="1">SUM(DW2:DW789)</f>
        <v>#N/A</v>
      </c>
      <c r="DW792" s="105">
        <f ca="1">INDIRECT(DQ$799&amp;DZ792)</f>
        <v>3</v>
      </c>
      <c r="DZ792" s="105">
        <f ca="1">LOOKUP(2,1 / (DZ2:DZ788&lt;&gt; ""),ROW(DZ2:DZ788))</f>
        <v>59</v>
      </c>
      <c r="EC792" s="321" t="s">
        <v>177</v>
      </c>
      <c r="ED792" s="105">
        <f ca="1">3*ED794+ED795</f>
        <v>0</v>
      </c>
      <c r="EF792" s="321" t="s">
        <v>101</v>
      </c>
      <c r="EG792" s="105" t="e">
        <f ca="1">SUM(EI2:EI789)</f>
        <v>#N/A</v>
      </c>
      <c r="EI792" s="105">
        <f ca="1">INDIRECT(EC$799&amp;EL792)</f>
        <v>3</v>
      </c>
      <c r="EL792" s="105">
        <f ca="1">LOOKUP(2,1 / (EL2:EL788&lt;&gt; ""),ROW(EL2:EL788))</f>
        <v>59</v>
      </c>
      <c r="EO792" s="321" t="s">
        <v>177</v>
      </c>
      <c r="EP792" s="105">
        <f ca="1">3*EP794+EP795</f>
        <v>0</v>
      </c>
      <c r="ER792" s="321" t="s">
        <v>101</v>
      </c>
      <c r="ES792" s="105" t="e">
        <f ca="1">SUM(EU2:EU789)</f>
        <v>#N/A</v>
      </c>
      <c r="EU792" s="105">
        <f ca="1">INDIRECT(EO$799&amp;EX792)</f>
        <v>3</v>
      </c>
      <c r="EX792" s="105">
        <f ca="1">LOOKUP(2,1 / (EX2:EX788&lt;&gt; ""),ROW(EX2:EX788))</f>
        <v>59</v>
      </c>
      <c r="FA792" s="321" t="s">
        <v>177</v>
      </c>
      <c r="FB792" s="105">
        <f ca="1">3*FB794+FB795</f>
        <v>0</v>
      </c>
      <c r="FD792" s="321" t="s">
        <v>101</v>
      </c>
      <c r="FE792" s="105" t="e">
        <f ca="1">SUM(FG2:FG789)</f>
        <v>#N/A</v>
      </c>
      <c r="FG792" s="105">
        <f ca="1">INDIRECT(FA$799&amp;FJ792)</f>
        <v>3</v>
      </c>
      <c r="FJ792" s="105">
        <f ca="1">LOOKUP(2,1 / (FJ2:FJ788&lt;&gt; ""),ROW(FJ2:FJ788))</f>
        <v>59</v>
      </c>
      <c r="FM792" s="321" t="s">
        <v>177</v>
      </c>
      <c r="FN792" s="105">
        <f ca="1">3*FN794+FN795</f>
        <v>0</v>
      </c>
      <c r="FP792" s="321" t="s">
        <v>101</v>
      </c>
      <c r="FQ792" s="105" t="e">
        <f ca="1">SUM(FS2:FS789)</f>
        <v>#N/A</v>
      </c>
      <c r="FS792" s="105">
        <f ca="1">INDIRECT(FM$799&amp;FV792)</f>
        <v>3</v>
      </c>
      <c r="FV792" s="105">
        <f ca="1">LOOKUP(2,1 / (FV2:FV788&lt;&gt; ""),ROW(FV2:FV788))</f>
        <v>59</v>
      </c>
      <c r="FY792" s="321" t="s">
        <v>177</v>
      </c>
      <c r="FZ792" s="105">
        <f ca="1">3*FZ794+FZ795</f>
        <v>0</v>
      </c>
      <c r="GB792" s="321" t="s">
        <v>101</v>
      </c>
      <c r="GC792" s="105" t="e">
        <f ca="1">SUM(GE2:GE789)</f>
        <v>#N/A</v>
      </c>
      <c r="GE792" s="105">
        <f ca="1">INDIRECT(FY$799&amp;GH792)</f>
        <v>3</v>
      </c>
      <c r="GH792" s="105">
        <f ca="1">LOOKUP(2,1 / (GH2:GH788&lt;&gt; ""),ROW(GH2:GH788))</f>
        <v>59</v>
      </c>
      <c r="GK792" s="321" t="s">
        <v>177</v>
      </c>
      <c r="GL792" s="105">
        <f ca="1">3*GL794+GL795</f>
        <v>0</v>
      </c>
      <c r="GN792" s="321" t="s">
        <v>101</v>
      </c>
      <c r="GO792" s="105" t="e">
        <f ca="1">SUM(GQ2:GQ789)</f>
        <v>#N/A</v>
      </c>
      <c r="GQ792" s="105">
        <f ca="1">INDIRECT(GK$799&amp;GT792)</f>
        <v>3</v>
      </c>
      <c r="GT792" s="105">
        <f ca="1">LOOKUP(2,1 / (GT2:GT788&lt;&gt; ""),ROW(GT2:GT788))</f>
        <v>59</v>
      </c>
      <c r="GW792" s="321" t="s">
        <v>177</v>
      </c>
      <c r="GX792" s="105">
        <f ca="1">3*GX794+GX795</f>
        <v>0</v>
      </c>
      <c r="GZ792" s="321" t="s">
        <v>101</v>
      </c>
      <c r="HA792" s="105" t="e">
        <f ca="1">SUM(HC2:HC789)</f>
        <v>#N/A</v>
      </c>
      <c r="HC792" s="105">
        <f ca="1">INDIRECT(GW$799&amp;HF792)</f>
        <v>3</v>
      </c>
      <c r="HF792" s="105">
        <f ca="1">LOOKUP(2,1 / (HF2:HF788&lt;&gt; ""),ROW(HF2:HF788))</f>
        <v>59</v>
      </c>
      <c r="HI792" s="321" t="s">
        <v>177</v>
      </c>
      <c r="HJ792" s="105">
        <f ca="1">3*HJ794+HJ795</f>
        <v>0</v>
      </c>
      <c r="HL792" s="321" t="s">
        <v>101</v>
      </c>
      <c r="HM792" s="105" t="e">
        <f ca="1">SUM(HO2:HO789)</f>
        <v>#N/A</v>
      </c>
      <c r="HO792" s="105">
        <f ca="1">INDIRECT(HI$799&amp;HR792)</f>
        <v>3</v>
      </c>
      <c r="HR792" s="105">
        <f ca="1">LOOKUP(2,1 / (HR2:HR788&lt;&gt; ""),ROW(HR2:HR788))</f>
        <v>59</v>
      </c>
      <c r="HU792" s="321" t="s">
        <v>177</v>
      </c>
      <c r="HV792" s="105">
        <f ca="1">3*HV794+HV795</f>
        <v>0</v>
      </c>
      <c r="HX792" s="321" t="s">
        <v>101</v>
      </c>
      <c r="HY792" s="105" t="e">
        <f ca="1">SUM(IA2:IA789)</f>
        <v>#N/A</v>
      </c>
      <c r="IA792" s="105">
        <f ca="1">INDIRECT(HU$799&amp;ID792)</f>
        <v>3</v>
      </c>
      <c r="ID792" s="105">
        <f ca="1">LOOKUP(2,1 / (ID2:ID788&lt;&gt; ""),ROW(ID2:ID788))</f>
        <v>59</v>
      </c>
    </row>
    <row r="793" spans="1:239" hidden="1">
      <c r="A793" s="321" t="s">
        <v>96</v>
      </c>
      <c r="B793" s="105">
        <f ca="1">SUM(B794:B797)</f>
        <v>0</v>
      </c>
      <c r="D793" s="321" t="s">
        <v>100</v>
      </c>
      <c r="E793" s="105">
        <f>SUM(I2:I789)</f>
        <v>0</v>
      </c>
      <c r="G793" s="105" t="e">
        <f ca="1">INDIRECT(A$799&amp;J793)</f>
        <v>#N/A</v>
      </c>
      <c r="J793" s="105" t="e">
        <f ca="1">IF(ISBLANK(INDIRECT(A$799&amp;J792-1)), LOOKUP(2,1 / (J$2:(INDIRECT(A$799&amp;J792-2)) &lt;&gt; ""),ROW(J$2:(INDIRECT(A$799&amp;J792-2)))),LOOKUP(2,1 / (J$2:(INDIRECT(A$799&amp;J792-1)) &lt;&gt; ""),ROW(J$2:(INDIRECT(A$799&amp;J792-1)))))</f>
        <v>#N/A</v>
      </c>
      <c r="M793" s="321" t="s">
        <v>96</v>
      </c>
      <c r="N793" s="105">
        <f ca="1">SUM(N794:N797)</f>
        <v>0</v>
      </c>
      <c r="P793" s="321" t="s">
        <v>100</v>
      </c>
      <c r="Q793" s="105">
        <f>SUM(U2:U789)</f>
        <v>0</v>
      </c>
      <c r="S793" s="105" t="e">
        <f ca="1">INDIRECT(M$799&amp;V793)</f>
        <v>#N/A</v>
      </c>
      <c r="V793" s="105" t="e">
        <f ca="1">IF(ISBLANK(INDIRECT(M$799&amp;V792-1)), LOOKUP(2,1 / (V$2:(INDIRECT(M$799&amp;V792-2)) &lt;&gt; ""),ROW(V$2:(INDIRECT(M$799&amp;V792-2)))),LOOKUP(2,1 / (V$2:(INDIRECT(M$799&amp;V792-1)) &lt;&gt; ""),ROW(V$2:(INDIRECT(M$799&amp;V792-1)))))</f>
        <v>#N/A</v>
      </c>
      <c r="Y793" s="321" t="s">
        <v>96</v>
      </c>
      <c r="Z793" s="105">
        <f ca="1">SUM(Z794:Z797)</f>
        <v>0</v>
      </c>
      <c r="AB793" s="321" t="s">
        <v>100</v>
      </c>
      <c r="AC793" s="105">
        <f>SUM(AG2:AG789)</f>
        <v>0</v>
      </c>
      <c r="AE793" s="105" t="e">
        <f ca="1">INDIRECT(Y$799&amp;AH793)</f>
        <v>#N/A</v>
      </c>
      <c r="AH793" s="105" t="e">
        <f ca="1">IF(ISBLANK(INDIRECT(Y$799&amp;AH792-1)), LOOKUP(2,1 / (AH$2:(INDIRECT(Y$799&amp;AH792-2)) &lt;&gt; ""),ROW(AH$2:(INDIRECT(Y$799&amp;AH792-2)))),LOOKUP(2,1 / (AH$2:(INDIRECT(Y$799&amp;AH792-1)) &lt;&gt; ""),ROW(AH$2:(INDIRECT(Y$799&amp;AH792-1)))))</f>
        <v>#N/A</v>
      </c>
      <c r="AK793" s="321" t="s">
        <v>96</v>
      </c>
      <c r="AL793" s="105">
        <f ca="1">SUM(AL794:AL797)</f>
        <v>0</v>
      </c>
      <c r="AN793" s="321" t="s">
        <v>100</v>
      </c>
      <c r="AO793" s="105">
        <f>SUM(AS2:AS789)</f>
        <v>0</v>
      </c>
      <c r="AQ793" s="105" t="e">
        <f ca="1">INDIRECT(AK$799&amp;AT793)</f>
        <v>#N/A</v>
      </c>
      <c r="AT793" s="105" t="e">
        <f ca="1">IF(ISBLANK(INDIRECT(AK$799&amp;AT792-1)), LOOKUP(2,1 / (AT$2:(INDIRECT(AK$799&amp;AT792-2)) &lt;&gt; ""),ROW(AT$2:(INDIRECT(AK$799&amp;AT792-2)))),LOOKUP(2,1 / (AT$2:(INDIRECT(AK$799&amp;AT792-1)) &lt;&gt; ""),ROW(AT$2:(INDIRECT(AK$799&amp;AT792-1)))))</f>
        <v>#N/A</v>
      </c>
      <c r="AW793" s="321" t="s">
        <v>96</v>
      </c>
      <c r="AX793" s="105">
        <f ca="1">SUM(AX794:AX797)</f>
        <v>0</v>
      </c>
      <c r="AZ793" s="321" t="s">
        <v>100</v>
      </c>
      <c r="BA793" s="105">
        <f>SUM(BE2:BE789)</f>
        <v>0</v>
      </c>
      <c r="BC793" s="105" t="e">
        <f ca="1">INDIRECT(AW$799&amp;BF793)</f>
        <v>#N/A</v>
      </c>
      <c r="BF793" s="105" t="e">
        <f ca="1">IF(ISBLANK(INDIRECT(AW$799&amp;BF792-1)), LOOKUP(2,1 / (BF$2:(INDIRECT(AW$799&amp;BF792-2)) &lt;&gt; ""),ROW(BF$2:(INDIRECT(AW$799&amp;BF792-2)))),LOOKUP(2,1 / (BF$2:(INDIRECT(AW$799&amp;BF792-1)) &lt;&gt; ""),ROW(BF$2:(INDIRECT(AW$799&amp;BF792-1)))))</f>
        <v>#N/A</v>
      </c>
      <c r="BI793" s="321" t="s">
        <v>96</v>
      </c>
      <c r="BJ793" s="105">
        <f ca="1">SUM(BJ794:BJ797)</f>
        <v>0</v>
      </c>
      <c r="BL793" s="321" t="s">
        <v>100</v>
      </c>
      <c r="BM793" s="105">
        <f>SUM(BQ2:BQ789)</f>
        <v>0</v>
      </c>
      <c r="BO793" s="105" t="e">
        <f ca="1">INDIRECT(BI$799&amp;BR793)</f>
        <v>#N/A</v>
      </c>
      <c r="BR793" s="105" t="e">
        <f ca="1">IF(ISBLANK(INDIRECT(BI$799&amp;BR792-1)), LOOKUP(2,1 / (BR$2:(INDIRECT(BI$799&amp;BR792-2)) &lt;&gt; ""),ROW(BR$2:(INDIRECT(BI$799&amp;BR792-2)))),LOOKUP(2,1 / (BR$2:(INDIRECT(BI$799&amp;BR792-1)) &lt;&gt; ""),ROW(BR$2:(INDIRECT(BI$799&amp;BR792-1)))))</f>
        <v>#N/A</v>
      </c>
      <c r="BU793" s="321" t="s">
        <v>96</v>
      </c>
      <c r="BV793" s="105">
        <f ca="1">SUM(BV794:BV797)</f>
        <v>0</v>
      </c>
      <c r="BX793" s="321" t="s">
        <v>100</v>
      </c>
      <c r="BY793" s="105">
        <f>SUM(CC2:CC789)</f>
        <v>0</v>
      </c>
      <c r="CA793" s="105" t="e">
        <f ca="1">INDIRECT(BU$799&amp;CD793)</f>
        <v>#N/A</v>
      </c>
      <c r="CD793" s="105" t="e">
        <f ca="1">IF(ISBLANK(INDIRECT(BU$799&amp;CD792-1)), LOOKUP(2,1 / (CD$2:(INDIRECT(BU$799&amp;CD792-2)) &lt;&gt; ""),ROW(CD$2:(INDIRECT(BU$799&amp;CD792-2)))),LOOKUP(2,1 / (CD$2:(INDIRECT(BU$799&amp;CD792-1)) &lt;&gt; ""),ROW(CD$2:(INDIRECT(BU$799&amp;CD792-1)))))</f>
        <v>#N/A</v>
      </c>
      <c r="CG793" s="321" t="s">
        <v>96</v>
      </c>
      <c r="CH793" s="105">
        <f ca="1">SUM(CH794:CH797)</f>
        <v>0</v>
      </c>
      <c r="CJ793" s="321" t="s">
        <v>100</v>
      </c>
      <c r="CK793" s="105">
        <f>SUM(CO2:CO789)</f>
        <v>0</v>
      </c>
      <c r="CM793" s="105" t="e">
        <f ca="1">INDIRECT(CG$799&amp;CP793)</f>
        <v>#N/A</v>
      </c>
      <c r="CP793" s="105" t="e">
        <f ca="1">IF(ISBLANK(INDIRECT(CG$799&amp;CP792-1)), LOOKUP(2,1 / (CP$2:(INDIRECT(CG$799&amp;CP792-2)) &lt;&gt; ""),ROW(CP$2:(INDIRECT(CG$799&amp;CP792-2)))),LOOKUP(2,1 / (CP$2:(INDIRECT(CG$799&amp;CP792-1)) &lt;&gt; ""),ROW(CP$2:(INDIRECT(CG$799&amp;CP792-1)))))</f>
        <v>#N/A</v>
      </c>
      <c r="CS793" s="321" t="s">
        <v>96</v>
      </c>
      <c r="CT793" s="105">
        <f ca="1">SUM(CT794:CT797)</f>
        <v>0</v>
      </c>
      <c r="CV793" s="321" t="s">
        <v>100</v>
      </c>
      <c r="CW793" s="105">
        <f>SUM(DA2:DA789)</f>
        <v>0</v>
      </c>
      <c r="CY793" s="105" t="e">
        <f ca="1">INDIRECT(CS$799&amp;DB793)</f>
        <v>#N/A</v>
      </c>
      <c r="DB793" s="105" t="e">
        <f ca="1">IF(ISBLANK(INDIRECT(CS$799&amp;DB792-1)), LOOKUP(2,1 / (DB$2:(INDIRECT(CS$799&amp;DB792-2)) &lt;&gt; ""),ROW(DB$2:(INDIRECT(CS$799&amp;DB792-2)))),LOOKUP(2,1 / (DB$2:(INDIRECT(CS$799&amp;DB792-1)) &lt;&gt; ""),ROW(DB$2:(INDIRECT(CS$799&amp;DB792-1)))))</f>
        <v>#N/A</v>
      </c>
      <c r="DE793" s="321" t="s">
        <v>96</v>
      </c>
      <c r="DF793" s="105">
        <f ca="1">SUM(DF794:DF797)</f>
        <v>0</v>
      </c>
      <c r="DH793" s="321" t="s">
        <v>100</v>
      </c>
      <c r="DI793" s="105">
        <f>SUM(DM2:DM789)</f>
        <v>0</v>
      </c>
      <c r="DK793" s="105" t="e">
        <f ca="1">INDIRECT(DE$799&amp;DN793)</f>
        <v>#N/A</v>
      </c>
      <c r="DN793" s="105" t="e">
        <f ca="1">IF(ISBLANK(INDIRECT(DE$799&amp;DN792-1)), LOOKUP(2,1 / (DN$2:(INDIRECT(DE$799&amp;DN792-2)) &lt;&gt; ""),ROW(DN$2:(INDIRECT(DE$799&amp;DN792-2)))),LOOKUP(2,1 / (DN$2:(INDIRECT(DE$799&amp;DN792-1)) &lt;&gt; ""),ROW(DN$2:(INDIRECT(DE$799&amp;DN792-1)))))</f>
        <v>#N/A</v>
      </c>
      <c r="DQ793" s="321" t="s">
        <v>96</v>
      </c>
      <c r="DR793" s="105">
        <f ca="1">SUM(DR794:DR797)</f>
        <v>0</v>
      </c>
      <c r="DT793" s="321" t="s">
        <v>100</v>
      </c>
      <c r="DU793" s="105">
        <f>SUM(DY2:DY789)</f>
        <v>0</v>
      </c>
      <c r="DW793" s="105" t="e">
        <f ca="1">INDIRECT(DQ$799&amp;DZ793)</f>
        <v>#N/A</v>
      </c>
      <c r="DZ793" s="105" t="e">
        <f ca="1">IF(ISBLANK(INDIRECT(DQ$799&amp;DZ792-1)), LOOKUP(2,1 / (DZ$2:(INDIRECT(DQ$799&amp;DZ792-2)) &lt;&gt; ""),ROW(DZ$2:(INDIRECT(DQ$799&amp;DZ792-2)))),LOOKUP(2,1 / (DZ$2:(INDIRECT(DQ$799&amp;DZ792-1)) &lt;&gt; ""),ROW(DZ$2:(INDIRECT(DQ$799&amp;DZ792-1)))))</f>
        <v>#N/A</v>
      </c>
      <c r="EC793" s="321" t="s">
        <v>96</v>
      </c>
      <c r="ED793" s="105">
        <f ca="1">SUM(ED794:ED797)</f>
        <v>0</v>
      </c>
      <c r="EF793" s="321" t="s">
        <v>100</v>
      </c>
      <c r="EG793" s="105">
        <f>SUM(EK2:EK789)</f>
        <v>0</v>
      </c>
      <c r="EI793" s="105" t="e">
        <f ca="1">INDIRECT(EC$799&amp;EL793)</f>
        <v>#N/A</v>
      </c>
      <c r="EL793" s="105" t="e">
        <f ca="1">IF(ISBLANK(INDIRECT(EC$799&amp;EL792-1)), LOOKUP(2,1 / (EL$2:(INDIRECT(EC$799&amp;EL792-2)) &lt;&gt; ""),ROW(EL$2:(INDIRECT(EC$799&amp;EL792-2)))),LOOKUP(2,1 / (EL$2:(INDIRECT(EC$799&amp;EL792-1)) &lt;&gt; ""),ROW(EL$2:(INDIRECT(EC$799&amp;EL792-1)))))</f>
        <v>#N/A</v>
      </c>
      <c r="EO793" s="321" t="s">
        <v>96</v>
      </c>
      <c r="EP793" s="105">
        <f ca="1">SUM(EP794:EP797)</f>
        <v>0</v>
      </c>
      <c r="ER793" s="321" t="s">
        <v>100</v>
      </c>
      <c r="ES793" s="105">
        <f>SUM(EW2:EW789)</f>
        <v>0</v>
      </c>
      <c r="EU793" s="105" t="e">
        <f ca="1">INDIRECT(EO$799&amp;EX793)</f>
        <v>#N/A</v>
      </c>
      <c r="EX793" s="105" t="e">
        <f ca="1">IF(ISBLANK(INDIRECT(EO$799&amp;EX792-1)), LOOKUP(2,1 / (EX$2:(INDIRECT(EO$799&amp;EX792-2)) &lt;&gt; ""),ROW(EX$2:(INDIRECT(EO$799&amp;EX792-2)))),LOOKUP(2,1 / (EX$2:(INDIRECT(EO$799&amp;EX792-1)) &lt;&gt; ""),ROW(EX$2:(INDIRECT(EO$799&amp;EX792-1)))))</f>
        <v>#N/A</v>
      </c>
      <c r="FA793" s="321" t="s">
        <v>96</v>
      </c>
      <c r="FB793" s="105">
        <f ca="1">SUM(FB794:FB797)</f>
        <v>0</v>
      </c>
      <c r="FD793" s="321" t="s">
        <v>100</v>
      </c>
      <c r="FE793" s="105">
        <f>SUM(FI2:FI789)</f>
        <v>0</v>
      </c>
      <c r="FG793" s="105" t="e">
        <f ca="1">INDIRECT(FA$799&amp;FJ793)</f>
        <v>#N/A</v>
      </c>
      <c r="FJ793" s="105" t="e">
        <f ca="1">IF(ISBLANK(INDIRECT(FA$799&amp;FJ792-1)), LOOKUP(2,1 / (FJ$2:(INDIRECT(FA$799&amp;FJ792-2)) &lt;&gt; ""),ROW(FJ$2:(INDIRECT(FA$799&amp;FJ792-2)))),LOOKUP(2,1 / (FJ$2:(INDIRECT(FA$799&amp;FJ792-1)) &lt;&gt; ""),ROW(FJ$2:(INDIRECT(FA$799&amp;FJ792-1)))))</f>
        <v>#N/A</v>
      </c>
      <c r="FM793" s="321" t="s">
        <v>96</v>
      </c>
      <c r="FN793" s="105">
        <f ca="1">SUM(FN794:FN797)</f>
        <v>0</v>
      </c>
      <c r="FP793" s="321" t="s">
        <v>100</v>
      </c>
      <c r="FQ793" s="105">
        <f>SUM(FU2:FU789)</f>
        <v>0</v>
      </c>
      <c r="FS793" s="105" t="e">
        <f ca="1">INDIRECT(FM$799&amp;FV793)</f>
        <v>#N/A</v>
      </c>
      <c r="FV793" s="105" t="e">
        <f ca="1">IF(ISBLANK(INDIRECT(FM$799&amp;FV792-1)), LOOKUP(2,1 / (FV$2:(INDIRECT(FM$799&amp;FV792-2)) &lt;&gt; ""),ROW(FV$2:(INDIRECT(FM$799&amp;FV792-2)))),LOOKUP(2,1 / (FV$2:(INDIRECT(FM$799&amp;FV792-1)) &lt;&gt; ""),ROW(FV$2:(INDIRECT(FM$799&amp;FV792-1)))))</f>
        <v>#N/A</v>
      </c>
      <c r="FY793" s="321" t="s">
        <v>96</v>
      </c>
      <c r="FZ793" s="105">
        <f ca="1">SUM(FZ794:FZ797)</f>
        <v>0</v>
      </c>
      <c r="GB793" s="321" t="s">
        <v>100</v>
      </c>
      <c r="GC793" s="105">
        <f>SUM(GG2:GG789)</f>
        <v>0</v>
      </c>
      <c r="GE793" s="105" t="e">
        <f ca="1">INDIRECT(FY$799&amp;GH793)</f>
        <v>#N/A</v>
      </c>
      <c r="GH793" s="105" t="e">
        <f ca="1">IF(ISBLANK(INDIRECT(FY$799&amp;GH792-1)), LOOKUP(2,1 / (GH$2:(INDIRECT(FY$799&amp;GH792-2)) &lt;&gt; ""),ROW(GH$2:(INDIRECT(FY$799&amp;GH792-2)))),LOOKUP(2,1 / (GH$2:(INDIRECT(FY$799&amp;GH792-1)) &lt;&gt; ""),ROW(GH$2:(INDIRECT(FY$799&amp;GH792-1)))))</f>
        <v>#N/A</v>
      </c>
      <c r="GK793" s="321" t="s">
        <v>96</v>
      </c>
      <c r="GL793" s="105">
        <f ca="1">SUM(GL794:GL797)</f>
        <v>0</v>
      </c>
      <c r="GN793" s="321" t="s">
        <v>100</v>
      </c>
      <c r="GO793" s="105">
        <f>SUM(GS2:GS789)</f>
        <v>0</v>
      </c>
      <c r="GQ793" s="105" t="e">
        <f ca="1">INDIRECT(GK$799&amp;GT793)</f>
        <v>#N/A</v>
      </c>
      <c r="GT793" s="105" t="e">
        <f ca="1">IF(ISBLANK(INDIRECT(GK$799&amp;GT792-1)), LOOKUP(2,1 / (GT$2:(INDIRECT(GK$799&amp;GT792-2)) &lt;&gt; ""),ROW(GT$2:(INDIRECT(GK$799&amp;GT792-2)))),LOOKUP(2,1 / (GT$2:(INDIRECT(GK$799&amp;GT792-1)) &lt;&gt; ""),ROW(GT$2:(INDIRECT(GK$799&amp;GT792-1)))))</f>
        <v>#N/A</v>
      </c>
      <c r="GW793" s="321" t="s">
        <v>96</v>
      </c>
      <c r="GX793" s="105">
        <f ca="1">SUM(GX794:GX797)</f>
        <v>0</v>
      </c>
      <c r="GZ793" s="321" t="s">
        <v>100</v>
      </c>
      <c r="HA793" s="105">
        <f>SUM(HE2:HE789)</f>
        <v>0</v>
      </c>
      <c r="HC793" s="105" t="e">
        <f ca="1">INDIRECT(GW$799&amp;HF793)</f>
        <v>#N/A</v>
      </c>
      <c r="HF793" s="105" t="e">
        <f ca="1">IF(ISBLANK(INDIRECT(GW$799&amp;HF792-1)), LOOKUP(2,1 / (HF$2:(INDIRECT(GW$799&amp;HF792-2)) &lt;&gt; ""),ROW(HF$2:(INDIRECT(GW$799&amp;HF792-2)))),LOOKUP(2,1 / (HF$2:(INDIRECT(GW$799&amp;HF792-1)) &lt;&gt; ""),ROW(HF$2:(INDIRECT(GW$799&amp;HF792-1)))))</f>
        <v>#N/A</v>
      </c>
      <c r="HI793" s="321" t="s">
        <v>96</v>
      </c>
      <c r="HJ793" s="105">
        <f ca="1">SUM(HJ794:HJ797)</f>
        <v>0</v>
      </c>
      <c r="HL793" s="321" t="s">
        <v>100</v>
      </c>
      <c r="HM793" s="105">
        <f>SUM(HQ2:HQ789)</f>
        <v>0</v>
      </c>
      <c r="HO793" s="105" t="e">
        <f ca="1">INDIRECT(HI$799&amp;HR793)</f>
        <v>#N/A</v>
      </c>
      <c r="HR793" s="105" t="e">
        <f ca="1">IF(ISBLANK(INDIRECT(HI$799&amp;HR792-1)), LOOKUP(2,1 / (HR$2:(INDIRECT(HI$799&amp;HR792-2)) &lt;&gt; ""),ROW(HR$2:(INDIRECT(HI$799&amp;HR792-2)))),LOOKUP(2,1 / (HR$2:(INDIRECT(HI$799&amp;HR792-1)) &lt;&gt; ""),ROW(HR$2:(INDIRECT(HI$799&amp;HR792-1)))))</f>
        <v>#N/A</v>
      </c>
      <c r="HU793" s="321" t="s">
        <v>96</v>
      </c>
      <c r="HV793" s="105">
        <f ca="1">SUM(HV794:HV797)</f>
        <v>0</v>
      </c>
      <c r="HX793" s="321" t="s">
        <v>100</v>
      </c>
      <c r="HY793" s="105">
        <f>SUM(IC2:IC789)</f>
        <v>0</v>
      </c>
      <c r="IA793" s="105" t="e">
        <f ca="1">INDIRECT(HU$799&amp;ID793)</f>
        <v>#N/A</v>
      </c>
      <c r="ID793" s="105" t="e">
        <f ca="1">IF(ISBLANK(INDIRECT(HU$799&amp;ID792-1)), LOOKUP(2,1 / (ID$2:(INDIRECT(HU$799&amp;ID792-2)) &lt;&gt; ""),ROW(ID$2:(INDIRECT(HU$799&amp;ID792-2)))),LOOKUP(2,1 / (ID$2:(INDIRECT(HU$799&amp;ID792-1)) &lt;&gt; ""),ROW(ID$2:(INDIRECT(HU$799&amp;ID792-1)))))</f>
        <v>#N/A</v>
      </c>
    </row>
    <row r="794" spans="1:239" hidden="1">
      <c r="A794" s="321" t="s">
        <v>173</v>
      </c>
      <c r="B794" s="105">
        <f ca="1">COUNTIF(J2:J789,"W")</f>
        <v>0</v>
      </c>
      <c r="D794" s="321" t="s">
        <v>102</v>
      </c>
      <c r="E794" s="105" t="e">
        <f ca="1">E792 - E793</f>
        <v>#N/A</v>
      </c>
      <c r="G794" s="105" t="e">
        <f ca="1">INDIRECT(A$799&amp;J794)</f>
        <v>#N/A</v>
      </c>
      <c r="J794" s="105" t="e">
        <f ca="1">IF(ISBLANK(INDIRECT(A$799&amp;J793-1)), LOOKUP(2,1 / (J$2:(INDIRECT(A$799&amp;J793-2)) &lt;&gt; ""),ROW(J$2:(INDIRECT(A$799&amp;J793-2)))),LOOKUP(2,1 / (J$2:(INDIRECT(A$799&amp;J793-1)) &lt;&gt; ""),ROW(J$2:(INDIRECT(A$799&amp;J793-1)))))</f>
        <v>#N/A</v>
      </c>
      <c r="M794" s="321" t="s">
        <v>173</v>
      </c>
      <c r="N794" s="105">
        <f ca="1">COUNTIF(V2:V789,"W")</f>
        <v>0</v>
      </c>
      <c r="P794" s="321" t="s">
        <v>102</v>
      </c>
      <c r="Q794" s="105" t="e">
        <f ca="1">Q792 - Q793</f>
        <v>#N/A</v>
      </c>
      <c r="S794" s="105" t="e">
        <f ca="1">INDIRECT(M$799&amp;V794)</f>
        <v>#N/A</v>
      </c>
      <c r="V794" s="105" t="e">
        <f ca="1">IF(ISBLANK(INDIRECT(M$799&amp;V793-1)), LOOKUP(2,1 / (V$2:(INDIRECT(M$799&amp;V793-2)) &lt;&gt; ""),ROW(V$2:(INDIRECT(M$799&amp;V793-2)))),LOOKUP(2,1 / (V$2:(INDIRECT(M$799&amp;V793-1)) &lt;&gt; ""),ROW(V$2:(INDIRECT(M$799&amp;V793-1)))))</f>
        <v>#N/A</v>
      </c>
      <c r="Y794" s="321" t="s">
        <v>173</v>
      </c>
      <c r="Z794" s="105">
        <f ca="1">COUNTIF(AH2:AH789,"W")</f>
        <v>0</v>
      </c>
      <c r="AB794" s="321" t="s">
        <v>102</v>
      </c>
      <c r="AC794" s="105" t="e">
        <f ca="1">AC792 - AC793</f>
        <v>#N/A</v>
      </c>
      <c r="AE794" s="105" t="e">
        <f ca="1">INDIRECT(Y$799&amp;AH794)</f>
        <v>#N/A</v>
      </c>
      <c r="AH794" s="105" t="e">
        <f ca="1">IF(ISBLANK(INDIRECT(Y$799&amp;AH793-1)), LOOKUP(2,1 / (AH$2:(INDIRECT(Y$799&amp;AH793-2)) &lt;&gt; ""),ROW(AH$2:(INDIRECT(Y$799&amp;AH793-2)))),LOOKUP(2,1 / (AH$2:(INDIRECT(Y$799&amp;AH793-1)) &lt;&gt; ""),ROW(AH$2:(INDIRECT(Y$799&amp;AH793-1)))))</f>
        <v>#N/A</v>
      </c>
      <c r="AK794" s="321" t="s">
        <v>173</v>
      </c>
      <c r="AL794" s="105">
        <f ca="1">COUNTIF(AT2:AT789,"W")</f>
        <v>0</v>
      </c>
      <c r="AN794" s="321" t="s">
        <v>102</v>
      </c>
      <c r="AO794" s="105" t="e">
        <f ca="1">AO792 - AO793</f>
        <v>#N/A</v>
      </c>
      <c r="AQ794" s="105" t="e">
        <f ca="1">INDIRECT(AK$799&amp;AT794)</f>
        <v>#N/A</v>
      </c>
      <c r="AT794" s="105" t="e">
        <f ca="1">IF(ISBLANK(INDIRECT(AK$799&amp;AT793-1)), LOOKUP(2,1 / (AT$2:(INDIRECT(AK$799&amp;AT793-2)) &lt;&gt; ""),ROW(AT$2:(INDIRECT(AK$799&amp;AT793-2)))),LOOKUP(2,1 / (AT$2:(INDIRECT(AK$799&amp;AT793-1)) &lt;&gt; ""),ROW(AT$2:(INDIRECT(AK$799&amp;AT793-1)))))</f>
        <v>#N/A</v>
      </c>
      <c r="AW794" s="321" t="s">
        <v>173</v>
      </c>
      <c r="AX794" s="105">
        <f ca="1">COUNTIF(BF2:BF789,"W")</f>
        <v>0</v>
      </c>
      <c r="AZ794" s="321" t="s">
        <v>102</v>
      </c>
      <c r="BA794" s="105" t="e">
        <f ca="1">BA792 - BA793</f>
        <v>#N/A</v>
      </c>
      <c r="BC794" s="105" t="e">
        <f ca="1">INDIRECT(AW$799&amp;BF794)</f>
        <v>#N/A</v>
      </c>
      <c r="BF794" s="105" t="e">
        <f ca="1">IF(ISBLANK(INDIRECT(AW$799&amp;BF793-1)), LOOKUP(2,1 / (BF$2:(INDIRECT(AW$799&amp;BF793-2)) &lt;&gt; ""),ROW(BF$2:(INDIRECT(AW$799&amp;BF793-2)))),LOOKUP(2,1 / (BF$2:(INDIRECT(AW$799&amp;BF793-1)) &lt;&gt; ""),ROW(BF$2:(INDIRECT(AW$799&amp;BF793-1)))))</f>
        <v>#N/A</v>
      </c>
      <c r="BI794" s="321" t="s">
        <v>173</v>
      </c>
      <c r="BJ794" s="105">
        <f ca="1">COUNTIF(BR2:BR789,"W")</f>
        <v>0</v>
      </c>
      <c r="BL794" s="321" t="s">
        <v>102</v>
      </c>
      <c r="BM794" s="105" t="e">
        <f ca="1">BM792 - BM793</f>
        <v>#N/A</v>
      </c>
      <c r="BO794" s="105" t="e">
        <f ca="1">INDIRECT(BI$799&amp;BR794)</f>
        <v>#N/A</v>
      </c>
      <c r="BR794" s="105" t="e">
        <f ca="1">IF(ISBLANK(INDIRECT(BI$799&amp;BR793-1)), LOOKUP(2,1 / (BR$2:(INDIRECT(BI$799&amp;BR793-2)) &lt;&gt; ""),ROW(BR$2:(INDIRECT(BI$799&amp;BR793-2)))),LOOKUP(2,1 / (BR$2:(INDIRECT(BI$799&amp;BR793-1)) &lt;&gt; ""),ROW(BR$2:(INDIRECT(BI$799&amp;BR793-1)))))</f>
        <v>#N/A</v>
      </c>
      <c r="BU794" s="321" t="s">
        <v>173</v>
      </c>
      <c r="BV794" s="105">
        <f ca="1">COUNTIF(CD2:CD789,"W")</f>
        <v>0</v>
      </c>
      <c r="BX794" s="321" t="s">
        <v>102</v>
      </c>
      <c r="BY794" s="105" t="e">
        <f ca="1">BY792 - BY793</f>
        <v>#N/A</v>
      </c>
      <c r="CA794" s="105" t="e">
        <f ca="1">INDIRECT(BU$799&amp;CD794)</f>
        <v>#N/A</v>
      </c>
      <c r="CD794" s="105" t="e">
        <f ca="1">IF(ISBLANK(INDIRECT(BU$799&amp;CD793-1)), LOOKUP(2,1 / (CD$2:(INDIRECT(BU$799&amp;CD793-2)) &lt;&gt; ""),ROW(CD$2:(INDIRECT(BU$799&amp;CD793-2)))),LOOKUP(2,1 / (CD$2:(INDIRECT(BU$799&amp;CD793-1)) &lt;&gt; ""),ROW(CD$2:(INDIRECT(BU$799&amp;CD793-1)))))</f>
        <v>#N/A</v>
      </c>
      <c r="CG794" s="321" t="s">
        <v>173</v>
      </c>
      <c r="CH794" s="105">
        <f ca="1">COUNTIF(CP2:CP789,"W")</f>
        <v>0</v>
      </c>
      <c r="CJ794" s="321" t="s">
        <v>102</v>
      </c>
      <c r="CK794" s="105" t="e">
        <f ca="1">CK792 - CK793</f>
        <v>#N/A</v>
      </c>
      <c r="CM794" s="105" t="e">
        <f ca="1">INDIRECT(CG$799&amp;CP794)</f>
        <v>#N/A</v>
      </c>
      <c r="CP794" s="105" t="e">
        <f ca="1">IF(ISBLANK(INDIRECT(CG$799&amp;CP793-1)), LOOKUP(2,1 / (CP$2:(INDIRECT(CG$799&amp;CP793-2)) &lt;&gt; ""),ROW(CP$2:(INDIRECT(CG$799&amp;CP793-2)))),LOOKUP(2,1 / (CP$2:(INDIRECT(CG$799&amp;CP793-1)) &lt;&gt; ""),ROW(CP$2:(INDIRECT(CG$799&amp;CP793-1)))))</f>
        <v>#N/A</v>
      </c>
      <c r="CS794" s="321" t="s">
        <v>173</v>
      </c>
      <c r="CT794" s="105">
        <f ca="1">COUNTIF(DB2:DB789,"W")</f>
        <v>0</v>
      </c>
      <c r="CV794" s="321" t="s">
        <v>102</v>
      </c>
      <c r="CW794" s="105" t="e">
        <f ca="1">CW792 - CW793</f>
        <v>#N/A</v>
      </c>
      <c r="CY794" s="105" t="e">
        <f ca="1">INDIRECT(CS$799&amp;DB794)</f>
        <v>#N/A</v>
      </c>
      <c r="DB794" s="105" t="e">
        <f ca="1">IF(ISBLANK(INDIRECT(CS$799&amp;DB793-1)), LOOKUP(2,1 / (DB$2:(INDIRECT(CS$799&amp;DB793-2)) &lt;&gt; ""),ROW(DB$2:(INDIRECT(CS$799&amp;DB793-2)))),LOOKUP(2,1 / (DB$2:(INDIRECT(CS$799&amp;DB793-1)) &lt;&gt; ""),ROW(DB$2:(INDIRECT(CS$799&amp;DB793-1)))))</f>
        <v>#N/A</v>
      </c>
      <c r="DE794" s="321" t="s">
        <v>173</v>
      </c>
      <c r="DF794" s="105">
        <f ca="1">COUNTIF(DN2:DN789,"W")</f>
        <v>0</v>
      </c>
      <c r="DH794" s="321" t="s">
        <v>102</v>
      </c>
      <c r="DI794" s="105" t="e">
        <f ca="1">DI792 - DI793</f>
        <v>#N/A</v>
      </c>
      <c r="DK794" s="105" t="e">
        <f ca="1">INDIRECT(DE$799&amp;DN794)</f>
        <v>#N/A</v>
      </c>
      <c r="DN794" s="105" t="e">
        <f ca="1">IF(ISBLANK(INDIRECT(DE$799&amp;DN793-1)), LOOKUP(2,1 / (DN$2:(INDIRECT(DE$799&amp;DN793-2)) &lt;&gt; ""),ROW(DN$2:(INDIRECT(DE$799&amp;DN793-2)))),LOOKUP(2,1 / (DN$2:(INDIRECT(DE$799&amp;DN793-1)) &lt;&gt; ""),ROW(DN$2:(INDIRECT(DE$799&amp;DN793-1)))))</f>
        <v>#N/A</v>
      </c>
      <c r="DQ794" s="321" t="s">
        <v>173</v>
      </c>
      <c r="DR794" s="105">
        <f ca="1">COUNTIF(DZ2:DZ789,"W")</f>
        <v>0</v>
      </c>
      <c r="DT794" s="321" t="s">
        <v>102</v>
      </c>
      <c r="DU794" s="105" t="e">
        <f ca="1">DU792 - DU793</f>
        <v>#N/A</v>
      </c>
      <c r="DW794" s="105" t="e">
        <f ca="1">INDIRECT(DQ$799&amp;DZ794)</f>
        <v>#N/A</v>
      </c>
      <c r="DZ794" s="105" t="e">
        <f ca="1">IF(ISBLANK(INDIRECT(DQ$799&amp;DZ793-1)), LOOKUP(2,1 / (DZ$2:(INDIRECT(DQ$799&amp;DZ793-2)) &lt;&gt; ""),ROW(DZ$2:(INDIRECT(DQ$799&amp;DZ793-2)))),LOOKUP(2,1 / (DZ$2:(INDIRECT(DQ$799&amp;DZ793-1)) &lt;&gt; ""),ROW(DZ$2:(INDIRECT(DQ$799&amp;DZ793-1)))))</f>
        <v>#N/A</v>
      </c>
      <c r="EC794" s="321" t="s">
        <v>173</v>
      </c>
      <c r="ED794" s="105">
        <f ca="1">COUNTIF(EL2:EL789,"W")</f>
        <v>0</v>
      </c>
      <c r="EF794" s="321" t="s">
        <v>102</v>
      </c>
      <c r="EG794" s="105" t="e">
        <f ca="1">EG792 - EG793</f>
        <v>#N/A</v>
      </c>
      <c r="EI794" s="105" t="e">
        <f ca="1">INDIRECT(EC$799&amp;EL794)</f>
        <v>#N/A</v>
      </c>
      <c r="EL794" s="105" t="e">
        <f ca="1">IF(ISBLANK(INDIRECT(EC$799&amp;EL793-1)), LOOKUP(2,1 / (EL$2:(INDIRECT(EC$799&amp;EL793-2)) &lt;&gt; ""),ROW(EL$2:(INDIRECT(EC$799&amp;EL793-2)))),LOOKUP(2,1 / (EL$2:(INDIRECT(EC$799&amp;EL793-1)) &lt;&gt; ""),ROW(EL$2:(INDIRECT(EC$799&amp;EL793-1)))))</f>
        <v>#N/A</v>
      </c>
      <c r="EO794" s="321" t="s">
        <v>173</v>
      </c>
      <c r="EP794" s="105">
        <f ca="1">COUNTIF(EX2:EX789,"W")</f>
        <v>0</v>
      </c>
      <c r="ER794" s="321" t="s">
        <v>102</v>
      </c>
      <c r="ES794" s="105" t="e">
        <f ca="1">ES792 - ES793</f>
        <v>#N/A</v>
      </c>
      <c r="EU794" s="105" t="e">
        <f ca="1">INDIRECT(EO$799&amp;EX794)</f>
        <v>#N/A</v>
      </c>
      <c r="EX794" s="105" t="e">
        <f ca="1">IF(ISBLANK(INDIRECT(EO$799&amp;EX793-1)), LOOKUP(2,1 / (EX$2:(INDIRECT(EO$799&amp;EX793-2)) &lt;&gt; ""),ROW(EX$2:(INDIRECT(EO$799&amp;EX793-2)))),LOOKUP(2,1 / (EX$2:(INDIRECT(EO$799&amp;EX793-1)) &lt;&gt; ""),ROW(EX$2:(INDIRECT(EO$799&amp;EX793-1)))))</f>
        <v>#N/A</v>
      </c>
      <c r="FA794" s="321" t="s">
        <v>173</v>
      </c>
      <c r="FB794" s="105">
        <f ca="1">COUNTIF(FJ2:FJ789,"W")</f>
        <v>0</v>
      </c>
      <c r="FD794" s="321" t="s">
        <v>102</v>
      </c>
      <c r="FE794" s="105" t="e">
        <f ca="1">FE792 - FE793</f>
        <v>#N/A</v>
      </c>
      <c r="FG794" s="105" t="e">
        <f ca="1">INDIRECT(FA$799&amp;FJ794)</f>
        <v>#N/A</v>
      </c>
      <c r="FJ794" s="105" t="e">
        <f ca="1">IF(ISBLANK(INDIRECT(FA$799&amp;FJ793-1)), LOOKUP(2,1 / (FJ$2:(INDIRECT(FA$799&amp;FJ793-2)) &lt;&gt; ""),ROW(FJ$2:(INDIRECT(FA$799&amp;FJ793-2)))),LOOKUP(2,1 / (FJ$2:(INDIRECT(FA$799&amp;FJ793-1)) &lt;&gt; ""),ROW(FJ$2:(INDIRECT(FA$799&amp;FJ793-1)))))</f>
        <v>#N/A</v>
      </c>
      <c r="FM794" s="321" t="s">
        <v>173</v>
      </c>
      <c r="FN794" s="105">
        <f ca="1">COUNTIF(FV2:FV789,"W")</f>
        <v>0</v>
      </c>
      <c r="FP794" s="321" t="s">
        <v>102</v>
      </c>
      <c r="FQ794" s="105" t="e">
        <f ca="1">FQ792 - FQ793</f>
        <v>#N/A</v>
      </c>
      <c r="FS794" s="105" t="e">
        <f ca="1">INDIRECT(FM$799&amp;FV794)</f>
        <v>#N/A</v>
      </c>
      <c r="FV794" s="105" t="e">
        <f ca="1">IF(ISBLANK(INDIRECT(FM$799&amp;FV793-1)), LOOKUP(2,1 / (FV$2:(INDIRECT(FM$799&amp;FV793-2)) &lt;&gt; ""),ROW(FV$2:(INDIRECT(FM$799&amp;FV793-2)))),LOOKUP(2,1 / (FV$2:(INDIRECT(FM$799&amp;FV793-1)) &lt;&gt; ""),ROW(FV$2:(INDIRECT(FM$799&amp;FV793-1)))))</f>
        <v>#N/A</v>
      </c>
      <c r="FY794" s="321" t="s">
        <v>173</v>
      </c>
      <c r="FZ794" s="105">
        <f ca="1">COUNTIF(GH2:GH789,"W")</f>
        <v>0</v>
      </c>
      <c r="GB794" s="321" t="s">
        <v>102</v>
      </c>
      <c r="GC794" s="105" t="e">
        <f ca="1">GC792 - GC793</f>
        <v>#N/A</v>
      </c>
      <c r="GE794" s="105" t="e">
        <f ca="1">INDIRECT(FY$799&amp;GH794)</f>
        <v>#N/A</v>
      </c>
      <c r="GH794" s="105" t="e">
        <f ca="1">IF(ISBLANK(INDIRECT(FY$799&amp;GH793-1)), LOOKUP(2,1 / (GH$2:(INDIRECT(FY$799&amp;GH793-2)) &lt;&gt; ""),ROW(GH$2:(INDIRECT(FY$799&amp;GH793-2)))),LOOKUP(2,1 / (GH$2:(INDIRECT(FY$799&amp;GH793-1)) &lt;&gt; ""),ROW(GH$2:(INDIRECT(FY$799&amp;GH793-1)))))</f>
        <v>#N/A</v>
      </c>
      <c r="GK794" s="321" t="s">
        <v>173</v>
      </c>
      <c r="GL794" s="105">
        <f ca="1">COUNTIF(GT2:GT789,"W")</f>
        <v>0</v>
      </c>
      <c r="GN794" s="321" t="s">
        <v>102</v>
      </c>
      <c r="GO794" s="105" t="e">
        <f ca="1">GO792 - GO793</f>
        <v>#N/A</v>
      </c>
      <c r="GQ794" s="105" t="e">
        <f ca="1">INDIRECT(GK$799&amp;GT794)</f>
        <v>#N/A</v>
      </c>
      <c r="GT794" s="105" t="e">
        <f ca="1">IF(ISBLANK(INDIRECT(GK$799&amp;GT793-1)), LOOKUP(2,1 / (GT$2:(INDIRECT(GK$799&amp;GT793-2)) &lt;&gt; ""),ROW(GT$2:(INDIRECT(GK$799&amp;GT793-2)))),LOOKUP(2,1 / (GT$2:(INDIRECT(GK$799&amp;GT793-1)) &lt;&gt; ""),ROW(GT$2:(INDIRECT(GK$799&amp;GT793-1)))))</f>
        <v>#N/A</v>
      </c>
      <c r="GW794" s="321" t="s">
        <v>173</v>
      </c>
      <c r="GX794" s="105">
        <f ca="1">COUNTIF(HF2:HF789,"W")</f>
        <v>0</v>
      </c>
      <c r="GZ794" s="321" t="s">
        <v>102</v>
      </c>
      <c r="HA794" s="105" t="e">
        <f ca="1">HA792 - HA793</f>
        <v>#N/A</v>
      </c>
      <c r="HC794" s="105" t="e">
        <f ca="1">INDIRECT(GW$799&amp;HF794)</f>
        <v>#N/A</v>
      </c>
      <c r="HF794" s="105" t="e">
        <f ca="1">IF(ISBLANK(INDIRECT(GW$799&amp;HF793-1)), LOOKUP(2,1 / (HF$2:(INDIRECT(GW$799&amp;HF793-2)) &lt;&gt; ""),ROW(HF$2:(INDIRECT(GW$799&amp;HF793-2)))),LOOKUP(2,1 / (HF$2:(INDIRECT(GW$799&amp;HF793-1)) &lt;&gt; ""),ROW(HF$2:(INDIRECT(GW$799&amp;HF793-1)))))</f>
        <v>#N/A</v>
      </c>
      <c r="HI794" s="321" t="s">
        <v>173</v>
      </c>
      <c r="HJ794" s="105">
        <f ca="1">COUNTIF(HR2:HR789,"W")</f>
        <v>0</v>
      </c>
      <c r="HL794" s="321" t="s">
        <v>102</v>
      </c>
      <c r="HM794" s="105" t="e">
        <f ca="1">HM792 - HM793</f>
        <v>#N/A</v>
      </c>
      <c r="HO794" s="105" t="e">
        <f ca="1">INDIRECT(HI$799&amp;HR794)</f>
        <v>#N/A</v>
      </c>
      <c r="HR794" s="105" t="e">
        <f ca="1">IF(ISBLANK(INDIRECT(HI$799&amp;HR793-1)), LOOKUP(2,1 / (HR$2:(INDIRECT(HI$799&amp;HR793-2)) &lt;&gt; ""),ROW(HR$2:(INDIRECT(HI$799&amp;HR793-2)))),LOOKUP(2,1 / (HR$2:(INDIRECT(HI$799&amp;HR793-1)) &lt;&gt; ""),ROW(HR$2:(INDIRECT(HI$799&amp;HR793-1)))))</f>
        <v>#N/A</v>
      </c>
      <c r="HU794" s="321" t="s">
        <v>173</v>
      </c>
      <c r="HV794" s="105">
        <f ca="1">COUNTIF(ID2:ID789,"W")</f>
        <v>0</v>
      </c>
      <c r="HX794" s="321" t="s">
        <v>102</v>
      </c>
      <c r="HY794" s="105" t="e">
        <f ca="1">HY792 - HY793</f>
        <v>#N/A</v>
      </c>
      <c r="IA794" s="105" t="e">
        <f ca="1">INDIRECT(HU$799&amp;ID794)</f>
        <v>#N/A</v>
      </c>
      <c r="ID794" s="105" t="e">
        <f ca="1">IF(ISBLANK(INDIRECT(HU$799&amp;ID793-1)), LOOKUP(2,1 / (ID$2:(INDIRECT(HU$799&amp;ID793-2)) &lt;&gt; ""),ROW(ID$2:(INDIRECT(HU$799&amp;ID793-2)))),LOOKUP(2,1 / (ID$2:(INDIRECT(HU$799&amp;ID793-1)) &lt;&gt; ""),ROW(ID$2:(INDIRECT(HU$799&amp;ID793-1)))))</f>
        <v>#N/A</v>
      </c>
    </row>
    <row r="795" spans="1:239" hidden="1">
      <c r="A795" s="321" t="s">
        <v>175</v>
      </c>
      <c r="B795" s="105">
        <f ca="1">COUNTIF(J2:J789,"D")</f>
        <v>0</v>
      </c>
      <c r="D795" s="321" t="s">
        <v>104</v>
      </c>
      <c r="E795" s="105" t="e">
        <f ca="1">G792&amp;G793&amp;G794&amp;G795&amp;G796</f>
        <v>#N/A</v>
      </c>
      <c r="G795" s="105" t="e">
        <f ca="1">INDIRECT(A$799&amp;J795)</f>
        <v>#N/A</v>
      </c>
      <c r="J795" s="105" t="e">
        <f ca="1">IF(ISBLANK(INDIRECT(A$799&amp;J794-1)), LOOKUP(2,1 / (J$2:(INDIRECT(A$799&amp;J794-2)) &lt;&gt; ""),ROW(J$2:(INDIRECT(A$799&amp;J794-2)))),LOOKUP(2,1 / (J$2:(INDIRECT(A$799&amp;J794-1)) &lt;&gt; ""),ROW(J$2:(INDIRECT(A$799&amp;J794-1)))))</f>
        <v>#N/A</v>
      </c>
      <c r="M795" s="321" t="s">
        <v>175</v>
      </c>
      <c r="N795" s="105">
        <f ca="1">COUNTIF(V2:V789,"D")</f>
        <v>0</v>
      </c>
      <c r="P795" s="321" t="s">
        <v>104</v>
      </c>
      <c r="Q795" s="105" t="e">
        <f ca="1">S792&amp;S793&amp;S794&amp;S795&amp;S796</f>
        <v>#N/A</v>
      </c>
      <c r="S795" s="105" t="e">
        <f ca="1">INDIRECT(M$799&amp;V795)</f>
        <v>#N/A</v>
      </c>
      <c r="V795" s="105" t="e">
        <f ca="1">IF(ISBLANK(INDIRECT(M$799&amp;V794-1)), LOOKUP(2,1 / (V$2:(INDIRECT(M$799&amp;V794-2)) &lt;&gt; ""),ROW(V$2:(INDIRECT(M$799&amp;V794-2)))),LOOKUP(2,1 / (V$2:(INDIRECT(M$799&amp;V794-1)) &lt;&gt; ""),ROW(V$2:(INDIRECT(M$799&amp;V794-1)))))</f>
        <v>#N/A</v>
      </c>
      <c r="Y795" s="321" t="s">
        <v>175</v>
      </c>
      <c r="Z795" s="105">
        <f ca="1">COUNTIF(AH2:AH789,"D")</f>
        <v>0</v>
      </c>
      <c r="AB795" s="321" t="s">
        <v>104</v>
      </c>
      <c r="AC795" s="105" t="e">
        <f ca="1">AE792&amp;AE793&amp;AE794&amp;AE795&amp;AE796</f>
        <v>#N/A</v>
      </c>
      <c r="AE795" s="105" t="e">
        <f ca="1">INDIRECT(Y$799&amp;AH795)</f>
        <v>#N/A</v>
      </c>
      <c r="AH795" s="105" t="e">
        <f ca="1">IF(ISBLANK(INDIRECT(Y$799&amp;AH794-1)), LOOKUP(2,1 / (AH$2:(INDIRECT(Y$799&amp;AH794-2)) &lt;&gt; ""),ROW(AH$2:(INDIRECT(Y$799&amp;AH794-2)))),LOOKUP(2,1 / (AH$2:(INDIRECT(Y$799&amp;AH794-1)) &lt;&gt; ""),ROW(AH$2:(INDIRECT(Y$799&amp;AH794-1)))))</f>
        <v>#N/A</v>
      </c>
      <c r="AK795" s="321" t="s">
        <v>175</v>
      </c>
      <c r="AL795" s="105">
        <f ca="1">COUNTIF(AT2:AT789,"D")</f>
        <v>0</v>
      </c>
      <c r="AN795" s="321" t="s">
        <v>104</v>
      </c>
      <c r="AO795" s="105" t="e">
        <f ca="1">AQ792&amp;AQ793&amp;AQ794&amp;AQ795&amp;AQ796</f>
        <v>#N/A</v>
      </c>
      <c r="AQ795" s="105" t="e">
        <f ca="1">INDIRECT(AK$799&amp;AT795)</f>
        <v>#N/A</v>
      </c>
      <c r="AT795" s="105" t="e">
        <f ca="1">IF(ISBLANK(INDIRECT(AK$799&amp;AT794-1)), LOOKUP(2,1 / (AT$2:(INDIRECT(AK$799&amp;AT794-2)) &lt;&gt; ""),ROW(AT$2:(INDIRECT(AK$799&amp;AT794-2)))),LOOKUP(2,1 / (AT$2:(INDIRECT(AK$799&amp;AT794-1)) &lt;&gt; ""),ROW(AT$2:(INDIRECT(AK$799&amp;AT794-1)))))</f>
        <v>#N/A</v>
      </c>
      <c r="AW795" s="321" t="s">
        <v>175</v>
      </c>
      <c r="AX795" s="105">
        <f ca="1">COUNTIF(BF2:BF789,"D")</f>
        <v>0</v>
      </c>
      <c r="AZ795" s="321" t="s">
        <v>104</v>
      </c>
      <c r="BA795" s="105" t="e">
        <f ca="1">BC792&amp;BC793&amp;BC794&amp;BC795&amp;BC796</f>
        <v>#N/A</v>
      </c>
      <c r="BC795" s="105" t="e">
        <f ca="1">INDIRECT(AW$799&amp;BF795)</f>
        <v>#N/A</v>
      </c>
      <c r="BF795" s="105" t="e">
        <f ca="1">IF(ISBLANK(INDIRECT(AW$799&amp;BF794-1)), LOOKUP(2,1 / (BF$2:(INDIRECT(AW$799&amp;BF794-2)) &lt;&gt; ""),ROW(BF$2:(INDIRECT(AW$799&amp;BF794-2)))),LOOKUP(2,1 / (BF$2:(INDIRECT(AW$799&amp;BF794-1)) &lt;&gt; ""),ROW(BF$2:(INDIRECT(AW$799&amp;BF794-1)))))</f>
        <v>#N/A</v>
      </c>
      <c r="BI795" s="321" t="s">
        <v>175</v>
      </c>
      <c r="BJ795" s="105">
        <f ca="1">COUNTIF(BR2:BR789,"D")</f>
        <v>0</v>
      </c>
      <c r="BL795" s="321" t="s">
        <v>104</v>
      </c>
      <c r="BM795" s="105" t="e">
        <f ca="1">BO792&amp;BO793&amp;BO794&amp;BO795&amp;BO796</f>
        <v>#N/A</v>
      </c>
      <c r="BO795" s="105" t="e">
        <f ca="1">INDIRECT(BI$799&amp;BR795)</f>
        <v>#N/A</v>
      </c>
      <c r="BR795" s="105" t="e">
        <f ca="1">IF(ISBLANK(INDIRECT(BI$799&amp;BR794-1)), LOOKUP(2,1 / (BR$2:(INDIRECT(BI$799&amp;BR794-2)) &lt;&gt; ""),ROW(BR$2:(INDIRECT(BI$799&amp;BR794-2)))),LOOKUP(2,1 / (BR$2:(INDIRECT(BI$799&amp;BR794-1)) &lt;&gt; ""),ROW(BR$2:(INDIRECT(BI$799&amp;BR794-1)))))</f>
        <v>#N/A</v>
      </c>
      <c r="BU795" s="321" t="s">
        <v>175</v>
      </c>
      <c r="BV795" s="105">
        <f ca="1">COUNTIF(CD2:CD789,"D")</f>
        <v>0</v>
      </c>
      <c r="BX795" s="321" t="s">
        <v>104</v>
      </c>
      <c r="BY795" s="105" t="e">
        <f ca="1">CA792&amp;CA793&amp;CA794&amp;CA795&amp;CA796</f>
        <v>#N/A</v>
      </c>
      <c r="CA795" s="105" t="e">
        <f ca="1">INDIRECT(BU$799&amp;CD795)</f>
        <v>#N/A</v>
      </c>
      <c r="CD795" s="105" t="e">
        <f ca="1">IF(ISBLANK(INDIRECT(BU$799&amp;CD794-1)), LOOKUP(2,1 / (CD$2:(INDIRECT(BU$799&amp;CD794-2)) &lt;&gt; ""),ROW(CD$2:(INDIRECT(BU$799&amp;CD794-2)))),LOOKUP(2,1 / (CD$2:(INDIRECT(BU$799&amp;CD794-1)) &lt;&gt; ""),ROW(CD$2:(INDIRECT(BU$799&amp;CD794-1)))))</f>
        <v>#N/A</v>
      </c>
      <c r="CG795" s="321" t="s">
        <v>175</v>
      </c>
      <c r="CH795" s="105">
        <f ca="1">COUNTIF(CP2:CP789,"D")</f>
        <v>0</v>
      </c>
      <c r="CJ795" s="321" t="s">
        <v>104</v>
      </c>
      <c r="CK795" s="105" t="e">
        <f ca="1">CM792&amp;CM793&amp;CM794&amp;CM795&amp;CM796</f>
        <v>#N/A</v>
      </c>
      <c r="CM795" s="105" t="e">
        <f ca="1">INDIRECT(CG$799&amp;CP795)</f>
        <v>#N/A</v>
      </c>
      <c r="CP795" s="105" t="e">
        <f ca="1">IF(ISBLANK(INDIRECT(CG$799&amp;CP794-1)), LOOKUP(2,1 / (CP$2:(INDIRECT(CG$799&amp;CP794-2)) &lt;&gt; ""),ROW(CP$2:(INDIRECT(CG$799&amp;CP794-2)))),LOOKUP(2,1 / (CP$2:(INDIRECT(CG$799&amp;CP794-1)) &lt;&gt; ""),ROW(CP$2:(INDIRECT(CG$799&amp;CP794-1)))))</f>
        <v>#N/A</v>
      </c>
      <c r="CS795" s="321" t="s">
        <v>175</v>
      </c>
      <c r="CT795" s="105">
        <f ca="1">COUNTIF(DB2:DB789,"D")</f>
        <v>0</v>
      </c>
      <c r="CV795" s="321" t="s">
        <v>104</v>
      </c>
      <c r="CW795" s="105" t="e">
        <f ca="1">CY792&amp;CY793&amp;CY794&amp;CY795&amp;CY796</f>
        <v>#N/A</v>
      </c>
      <c r="CY795" s="105" t="e">
        <f ca="1">INDIRECT(CS$799&amp;DB795)</f>
        <v>#N/A</v>
      </c>
      <c r="DB795" s="105" t="e">
        <f ca="1">IF(ISBLANK(INDIRECT(CS$799&amp;DB794-1)), LOOKUP(2,1 / (DB$2:(INDIRECT(CS$799&amp;DB794-2)) &lt;&gt; ""),ROW(DB$2:(INDIRECT(CS$799&amp;DB794-2)))),LOOKUP(2,1 / (DB$2:(INDIRECT(CS$799&amp;DB794-1)) &lt;&gt; ""),ROW(DB$2:(INDIRECT(CS$799&amp;DB794-1)))))</f>
        <v>#N/A</v>
      </c>
      <c r="DE795" s="321" t="s">
        <v>175</v>
      </c>
      <c r="DF795" s="105">
        <f ca="1">COUNTIF(DN2:DN789,"D")</f>
        <v>0</v>
      </c>
      <c r="DH795" s="321" t="s">
        <v>104</v>
      </c>
      <c r="DI795" s="105" t="e">
        <f ca="1">DK792&amp;DK793&amp;DK794&amp;DK795&amp;DK796</f>
        <v>#N/A</v>
      </c>
      <c r="DK795" s="105" t="e">
        <f ca="1">INDIRECT(DE$799&amp;DN795)</f>
        <v>#N/A</v>
      </c>
      <c r="DN795" s="105" t="e">
        <f ca="1">IF(ISBLANK(INDIRECT(DE$799&amp;DN794-1)), LOOKUP(2,1 / (DN$2:(INDIRECT(DE$799&amp;DN794-2)) &lt;&gt; ""),ROW(DN$2:(INDIRECT(DE$799&amp;DN794-2)))),LOOKUP(2,1 / (DN$2:(INDIRECT(DE$799&amp;DN794-1)) &lt;&gt; ""),ROW(DN$2:(INDIRECT(DE$799&amp;DN794-1)))))</f>
        <v>#N/A</v>
      </c>
      <c r="DQ795" s="321" t="s">
        <v>175</v>
      </c>
      <c r="DR795" s="105">
        <f ca="1">COUNTIF(DZ2:DZ789,"D")</f>
        <v>0</v>
      </c>
      <c r="DT795" s="321" t="s">
        <v>104</v>
      </c>
      <c r="DU795" s="105" t="e">
        <f ca="1">DW792&amp;DW793&amp;DW794&amp;DW795&amp;DW796</f>
        <v>#N/A</v>
      </c>
      <c r="DW795" s="105" t="e">
        <f ca="1">INDIRECT(DQ$799&amp;DZ795)</f>
        <v>#N/A</v>
      </c>
      <c r="DZ795" s="105" t="e">
        <f ca="1">IF(ISBLANK(INDIRECT(DQ$799&amp;DZ794-1)), LOOKUP(2,1 / (DZ$2:(INDIRECT(DQ$799&amp;DZ794-2)) &lt;&gt; ""),ROW(DZ$2:(INDIRECT(DQ$799&amp;DZ794-2)))),LOOKUP(2,1 / (DZ$2:(INDIRECT(DQ$799&amp;DZ794-1)) &lt;&gt; ""),ROW(DZ$2:(INDIRECT(DQ$799&amp;DZ794-1)))))</f>
        <v>#N/A</v>
      </c>
      <c r="EC795" s="321" t="s">
        <v>175</v>
      </c>
      <c r="ED795" s="105">
        <f ca="1">COUNTIF(EL2:EL789,"D")</f>
        <v>0</v>
      </c>
      <c r="EF795" s="321" t="s">
        <v>104</v>
      </c>
      <c r="EG795" s="105" t="e">
        <f ca="1">EI792&amp;EI793&amp;EI794&amp;EI795&amp;EI796</f>
        <v>#N/A</v>
      </c>
      <c r="EI795" s="105" t="e">
        <f ca="1">INDIRECT(EC$799&amp;EL795)</f>
        <v>#N/A</v>
      </c>
      <c r="EL795" s="105" t="e">
        <f ca="1">IF(ISBLANK(INDIRECT(EC$799&amp;EL794-1)), LOOKUP(2,1 / (EL$2:(INDIRECT(EC$799&amp;EL794-2)) &lt;&gt; ""),ROW(EL$2:(INDIRECT(EC$799&amp;EL794-2)))),LOOKUP(2,1 / (EL$2:(INDIRECT(EC$799&amp;EL794-1)) &lt;&gt; ""),ROW(EL$2:(INDIRECT(EC$799&amp;EL794-1)))))</f>
        <v>#N/A</v>
      </c>
      <c r="EO795" s="321" t="s">
        <v>175</v>
      </c>
      <c r="EP795" s="105">
        <f ca="1">COUNTIF(EX2:EX789,"D")</f>
        <v>0</v>
      </c>
      <c r="ER795" s="321" t="s">
        <v>104</v>
      </c>
      <c r="ES795" s="105" t="e">
        <f ca="1">EU792&amp;EU793&amp;EU794&amp;EU795&amp;EU796</f>
        <v>#N/A</v>
      </c>
      <c r="EU795" s="105" t="e">
        <f ca="1">INDIRECT(EO$799&amp;EX795)</f>
        <v>#N/A</v>
      </c>
      <c r="EX795" s="105" t="e">
        <f ca="1">IF(ISBLANK(INDIRECT(EO$799&amp;EX794-1)), LOOKUP(2,1 / (EX$2:(INDIRECT(EO$799&amp;EX794-2)) &lt;&gt; ""),ROW(EX$2:(INDIRECT(EO$799&amp;EX794-2)))),LOOKUP(2,1 / (EX$2:(INDIRECT(EO$799&amp;EX794-1)) &lt;&gt; ""),ROW(EX$2:(INDIRECT(EO$799&amp;EX794-1)))))</f>
        <v>#N/A</v>
      </c>
      <c r="FA795" s="321" t="s">
        <v>175</v>
      </c>
      <c r="FB795" s="105">
        <f ca="1">COUNTIF(FJ2:FJ789,"D")</f>
        <v>0</v>
      </c>
      <c r="FD795" s="321" t="s">
        <v>104</v>
      </c>
      <c r="FE795" s="105" t="e">
        <f ca="1">FG792&amp;FG793&amp;FG794&amp;FG795&amp;FG796</f>
        <v>#N/A</v>
      </c>
      <c r="FG795" s="105" t="e">
        <f ca="1">INDIRECT(FA$799&amp;FJ795)</f>
        <v>#N/A</v>
      </c>
      <c r="FJ795" s="105" t="e">
        <f ca="1">IF(ISBLANK(INDIRECT(FA$799&amp;FJ794-1)), LOOKUP(2,1 / (FJ$2:(INDIRECT(FA$799&amp;FJ794-2)) &lt;&gt; ""),ROW(FJ$2:(INDIRECT(FA$799&amp;FJ794-2)))),LOOKUP(2,1 / (FJ$2:(INDIRECT(FA$799&amp;FJ794-1)) &lt;&gt; ""),ROW(FJ$2:(INDIRECT(FA$799&amp;FJ794-1)))))</f>
        <v>#N/A</v>
      </c>
      <c r="FM795" s="321" t="s">
        <v>175</v>
      </c>
      <c r="FN795" s="105">
        <f ca="1">COUNTIF(FV2:FV789,"D")</f>
        <v>0</v>
      </c>
      <c r="FP795" s="321" t="s">
        <v>104</v>
      </c>
      <c r="FQ795" s="105" t="e">
        <f ca="1">FS792&amp;FS793&amp;FS794&amp;FS795&amp;FS796</f>
        <v>#N/A</v>
      </c>
      <c r="FS795" s="105" t="e">
        <f ca="1">INDIRECT(FM$799&amp;FV795)</f>
        <v>#N/A</v>
      </c>
      <c r="FV795" s="105" t="e">
        <f ca="1">IF(ISBLANK(INDIRECT(FM$799&amp;FV794-1)), LOOKUP(2,1 / (FV$2:(INDIRECT(FM$799&amp;FV794-2)) &lt;&gt; ""),ROW(FV$2:(INDIRECT(FM$799&amp;FV794-2)))),LOOKUP(2,1 / (FV$2:(INDIRECT(FM$799&amp;FV794-1)) &lt;&gt; ""),ROW(FV$2:(INDIRECT(FM$799&amp;FV794-1)))))</f>
        <v>#N/A</v>
      </c>
      <c r="FY795" s="321" t="s">
        <v>175</v>
      </c>
      <c r="FZ795" s="105">
        <f ca="1">COUNTIF(GH2:GH789,"D")</f>
        <v>0</v>
      </c>
      <c r="GB795" s="321" t="s">
        <v>104</v>
      </c>
      <c r="GC795" s="105" t="e">
        <f ca="1">GE792&amp;GE793&amp;GE794&amp;GE795&amp;GE796</f>
        <v>#N/A</v>
      </c>
      <c r="GE795" s="105" t="e">
        <f ca="1">INDIRECT(FY$799&amp;GH795)</f>
        <v>#N/A</v>
      </c>
      <c r="GH795" s="105" t="e">
        <f ca="1">IF(ISBLANK(INDIRECT(FY$799&amp;GH794-1)), LOOKUP(2,1 / (GH$2:(INDIRECT(FY$799&amp;GH794-2)) &lt;&gt; ""),ROW(GH$2:(INDIRECT(FY$799&amp;GH794-2)))),LOOKUP(2,1 / (GH$2:(INDIRECT(FY$799&amp;GH794-1)) &lt;&gt; ""),ROW(GH$2:(INDIRECT(FY$799&amp;GH794-1)))))</f>
        <v>#N/A</v>
      </c>
      <c r="GK795" s="321" t="s">
        <v>175</v>
      </c>
      <c r="GL795" s="105">
        <f ca="1">COUNTIF(GT2:GT789,"D")</f>
        <v>0</v>
      </c>
      <c r="GN795" s="321" t="s">
        <v>104</v>
      </c>
      <c r="GO795" s="105" t="e">
        <f ca="1">GQ792&amp;GQ793&amp;GQ794&amp;GQ795&amp;GQ796</f>
        <v>#N/A</v>
      </c>
      <c r="GQ795" s="105" t="e">
        <f ca="1">INDIRECT(GK$799&amp;GT795)</f>
        <v>#N/A</v>
      </c>
      <c r="GT795" s="105" t="e">
        <f ca="1">IF(ISBLANK(INDIRECT(GK$799&amp;GT794-1)), LOOKUP(2,1 / (GT$2:(INDIRECT(GK$799&amp;GT794-2)) &lt;&gt; ""),ROW(GT$2:(INDIRECT(GK$799&amp;GT794-2)))),LOOKUP(2,1 / (GT$2:(INDIRECT(GK$799&amp;GT794-1)) &lt;&gt; ""),ROW(GT$2:(INDIRECT(GK$799&amp;GT794-1)))))</f>
        <v>#N/A</v>
      </c>
      <c r="GW795" s="321" t="s">
        <v>175</v>
      </c>
      <c r="GX795" s="105">
        <f ca="1">COUNTIF(HF2:HF789,"D")</f>
        <v>0</v>
      </c>
      <c r="GZ795" s="321" t="s">
        <v>104</v>
      </c>
      <c r="HA795" s="105" t="e">
        <f ca="1">HC792&amp;HC793&amp;HC794&amp;HC795&amp;HC796</f>
        <v>#N/A</v>
      </c>
      <c r="HC795" s="105" t="e">
        <f ca="1">INDIRECT(GW$799&amp;HF795)</f>
        <v>#N/A</v>
      </c>
      <c r="HF795" s="105" t="e">
        <f ca="1">IF(ISBLANK(INDIRECT(GW$799&amp;HF794-1)), LOOKUP(2,1 / (HF$2:(INDIRECT(GW$799&amp;HF794-2)) &lt;&gt; ""),ROW(HF$2:(INDIRECT(GW$799&amp;HF794-2)))),LOOKUP(2,1 / (HF$2:(INDIRECT(GW$799&amp;HF794-1)) &lt;&gt; ""),ROW(HF$2:(INDIRECT(GW$799&amp;HF794-1)))))</f>
        <v>#N/A</v>
      </c>
      <c r="HI795" s="321" t="s">
        <v>175</v>
      </c>
      <c r="HJ795" s="105">
        <f ca="1">COUNTIF(HR2:HR789,"D")</f>
        <v>0</v>
      </c>
      <c r="HL795" s="321" t="s">
        <v>104</v>
      </c>
      <c r="HM795" s="105" t="e">
        <f ca="1">HO792&amp;HO793&amp;HO794&amp;HO795&amp;HO796</f>
        <v>#N/A</v>
      </c>
      <c r="HO795" s="105" t="e">
        <f ca="1">INDIRECT(HI$799&amp;HR795)</f>
        <v>#N/A</v>
      </c>
      <c r="HR795" s="105" t="e">
        <f ca="1">IF(ISBLANK(INDIRECT(HI$799&amp;HR794-1)), LOOKUP(2,1 / (HR$2:(INDIRECT(HI$799&amp;HR794-2)) &lt;&gt; ""),ROW(HR$2:(INDIRECT(HI$799&amp;HR794-2)))),LOOKUP(2,1 / (HR$2:(INDIRECT(HI$799&amp;HR794-1)) &lt;&gt; ""),ROW(HR$2:(INDIRECT(HI$799&amp;HR794-1)))))</f>
        <v>#N/A</v>
      </c>
      <c r="HU795" s="321" t="s">
        <v>175</v>
      </c>
      <c r="HV795" s="105">
        <f ca="1">COUNTIF(ID2:ID789,"D")</f>
        <v>0</v>
      </c>
      <c r="HX795" s="321" t="s">
        <v>104</v>
      </c>
      <c r="HY795" s="105" t="e">
        <f ca="1">IA792&amp;IA793&amp;IA794&amp;IA795&amp;IA796</f>
        <v>#N/A</v>
      </c>
      <c r="IA795" s="105" t="e">
        <f ca="1">INDIRECT(HU$799&amp;ID795)</f>
        <v>#N/A</v>
      </c>
      <c r="ID795" s="105" t="e">
        <f ca="1">IF(ISBLANK(INDIRECT(HU$799&amp;ID794-1)), LOOKUP(2,1 / (ID$2:(INDIRECT(HU$799&amp;ID794-2)) &lt;&gt; ""),ROW(ID$2:(INDIRECT(HU$799&amp;ID794-2)))),LOOKUP(2,1 / (ID$2:(INDIRECT(HU$799&amp;ID794-1)) &lt;&gt; ""),ROW(ID$2:(INDIRECT(HU$799&amp;ID794-1)))))</f>
        <v>#N/A</v>
      </c>
    </row>
    <row r="796" spans="1:239" hidden="1">
      <c r="A796" s="321" t="s">
        <v>174</v>
      </c>
      <c r="B796" s="105">
        <f ca="1">COUNTIF(J2:J789,"L")</f>
        <v>0</v>
      </c>
      <c r="D796" s="321" t="s">
        <v>176</v>
      </c>
      <c r="E796" s="105" t="str">
        <f ca="1">INDIRECT(B799&amp;J797)</f>
        <v>A</v>
      </c>
      <c r="G796" s="105" t="e">
        <f ca="1">INDIRECT(A$799&amp;J796)</f>
        <v>#N/A</v>
      </c>
      <c r="J796" s="105" t="e">
        <f ca="1">IF(ISBLANK(INDIRECT(A$799&amp;J795-1)), LOOKUP(2,1 / (J$2:(INDIRECT(A$799&amp;J795-2)) &lt;&gt; ""),ROW(J$2:(INDIRECT(A$799&amp;J795-2)))),LOOKUP(2,1 / (J$2:(INDIRECT(A$799&amp;J795-1)) &lt;&gt; ""),ROW(J$2:(INDIRECT(A$799&amp;J795-1)))))</f>
        <v>#N/A</v>
      </c>
      <c r="M796" s="321" t="s">
        <v>174</v>
      </c>
      <c r="N796" s="105">
        <f ca="1">COUNTIF(V2:V789,"L")</f>
        <v>0</v>
      </c>
      <c r="P796" s="321" t="s">
        <v>176</v>
      </c>
      <c r="Q796" s="105" t="str">
        <f ca="1">INDIRECT(N799&amp;V797)</f>
        <v>H</v>
      </c>
      <c r="S796" s="105" t="e">
        <f ca="1">INDIRECT(M$799&amp;V796)</f>
        <v>#N/A</v>
      </c>
      <c r="V796" s="105" t="e">
        <f ca="1">IF(ISBLANK(INDIRECT(M$799&amp;V795-1)), LOOKUP(2,1 / (V$2:(INDIRECT(M$799&amp;V795-2)) &lt;&gt; ""),ROW(V$2:(INDIRECT(M$799&amp;V795-2)))),LOOKUP(2,1 / (V$2:(INDIRECT(M$799&amp;V795-1)) &lt;&gt; ""),ROW(V$2:(INDIRECT(M$799&amp;V795-1)))))</f>
        <v>#N/A</v>
      </c>
      <c r="Y796" s="321" t="s">
        <v>174</v>
      </c>
      <c r="Z796" s="105">
        <f ca="1">COUNTIF(AH2:AH789,"L")</f>
        <v>0</v>
      </c>
      <c r="AB796" s="321" t="s">
        <v>176</v>
      </c>
      <c r="AC796" s="105" t="str">
        <f ca="1">INDIRECT(Z799&amp;AH797)</f>
        <v>A</v>
      </c>
      <c r="AE796" s="105" t="e">
        <f ca="1">INDIRECT(Y$799&amp;AH796)</f>
        <v>#N/A</v>
      </c>
      <c r="AH796" s="105" t="e">
        <f ca="1">IF(ISBLANK(INDIRECT(Y$799&amp;AH795-1)), LOOKUP(2,1 / (AH$2:(INDIRECT(Y$799&amp;AH795-2)) &lt;&gt; ""),ROW(AH$2:(INDIRECT(Y$799&amp;AH795-2)))),LOOKUP(2,1 / (AH$2:(INDIRECT(Y$799&amp;AH795-1)) &lt;&gt; ""),ROW(AH$2:(INDIRECT(Y$799&amp;AH795-1)))))</f>
        <v>#N/A</v>
      </c>
      <c r="AK796" s="321" t="s">
        <v>174</v>
      </c>
      <c r="AL796" s="105">
        <f ca="1">COUNTIF(AT2:AT789,"L")</f>
        <v>0</v>
      </c>
      <c r="AN796" s="321" t="s">
        <v>176</v>
      </c>
      <c r="AO796" s="105" t="str">
        <f ca="1">INDIRECT(AL799&amp;AT797)</f>
        <v>A</v>
      </c>
      <c r="AQ796" s="105" t="e">
        <f ca="1">INDIRECT(AK$799&amp;AT796)</f>
        <v>#N/A</v>
      </c>
      <c r="AT796" s="105" t="e">
        <f ca="1">IF(ISBLANK(INDIRECT(AK$799&amp;AT795-1)), LOOKUP(2,1 / (AT$2:(INDIRECT(AK$799&amp;AT795-2)) &lt;&gt; ""),ROW(AT$2:(INDIRECT(AK$799&amp;AT795-2)))),LOOKUP(2,1 / (AT$2:(INDIRECT(AK$799&amp;AT795-1)) &lt;&gt; ""),ROW(AT$2:(INDIRECT(AK$799&amp;AT795-1)))))</f>
        <v>#N/A</v>
      </c>
      <c r="AW796" s="321" t="s">
        <v>174</v>
      </c>
      <c r="AX796" s="105">
        <f ca="1">COUNTIF(BF2:BF789,"L")</f>
        <v>0</v>
      </c>
      <c r="AZ796" s="321" t="s">
        <v>176</v>
      </c>
      <c r="BA796" s="105" t="str">
        <f ca="1">INDIRECT(AX799&amp;BF797)</f>
        <v>H</v>
      </c>
      <c r="BC796" s="105" t="e">
        <f ca="1">INDIRECT(AW$799&amp;BF796)</f>
        <v>#N/A</v>
      </c>
      <c r="BF796" s="105" t="e">
        <f ca="1">IF(ISBLANK(INDIRECT(AW$799&amp;BF795-1)), LOOKUP(2,1 / (BF$2:(INDIRECT(AW$799&amp;BF795-2)) &lt;&gt; ""),ROW(BF$2:(INDIRECT(AW$799&amp;BF795-2)))),LOOKUP(2,1 / (BF$2:(INDIRECT(AW$799&amp;BF795-1)) &lt;&gt; ""),ROW(BF$2:(INDIRECT(AW$799&amp;BF795-1)))))</f>
        <v>#N/A</v>
      </c>
      <c r="BI796" s="321" t="s">
        <v>174</v>
      </c>
      <c r="BJ796" s="105">
        <f ca="1">COUNTIF(BR2:BR789,"L")</f>
        <v>0</v>
      </c>
      <c r="BL796" s="321" t="s">
        <v>176</v>
      </c>
      <c r="BM796" s="105" t="str">
        <f ca="1">INDIRECT(BJ799&amp;BR797)</f>
        <v>A</v>
      </c>
      <c r="BO796" s="105" t="e">
        <f ca="1">INDIRECT(BI$799&amp;BR796)</f>
        <v>#N/A</v>
      </c>
      <c r="BR796" s="105" t="e">
        <f ca="1">IF(ISBLANK(INDIRECT(BI$799&amp;BR795-1)), LOOKUP(2,1 / (BR$2:(INDIRECT(BI$799&amp;BR795-2)) &lt;&gt; ""),ROW(BR$2:(INDIRECT(BI$799&amp;BR795-2)))),LOOKUP(2,1 / (BR$2:(INDIRECT(BI$799&amp;BR795-1)) &lt;&gt; ""),ROW(BR$2:(INDIRECT(BI$799&amp;BR795-1)))))</f>
        <v>#N/A</v>
      </c>
      <c r="BU796" s="321" t="s">
        <v>174</v>
      </c>
      <c r="BV796" s="105">
        <f ca="1">COUNTIF(CD2:CD789,"L")</f>
        <v>0</v>
      </c>
      <c r="BX796" s="321" t="s">
        <v>176</v>
      </c>
      <c r="BY796" s="105" t="str">
        <f ca="1">INDIRECT(BV799&amp;CD797)</f>
        <v>H</v>
      </c>
      <c r="CA796" s="105" t="e">
        <f ca="1">INDIRECT(BU$799&amp;CD796)</f>
        <v>#N/A</v>
      </c>
      <c r="CD796" s="105" t="e">
        <f ca="1">IF(ISBLANK(INDIRECT(BU$799&amp;CD795-1)), LOOKUP(2,1 / (CD$2:(INDIRECT(BU$799&amp;CD795-2)) &lt;&gt; ""),ROW(CD$2:(INDIRECT(BU$799&amp;CD795-2)))),LOOKUP(2,1 / (CD$2:(INDIRECT(BU$799&amp;CD795-1)) &lt;&gt; ""),ROW(CD$2:(INDIRECT(BU$799&amp;CD795-1)))))</f>
        <v>#N/A</v>
      </c>
      <c r="CG796" s="321" t="s">
        <v>174</v>
      </c>
      <c r="CH796" s="105">
        <f ca="1">COUNTIF(CP2:CP789,"L")</f>
        <v>0</v>
      </c>
      <c r="CJ796" s="321" t="s">
        <v>176</v>
      </c>
      <c r="CK796" s="105" t="str">
        <f ca="1">INDIRECT(CH799&amp;CP797)</f>
        <v>A</v>
      </c>
      <c r="CM796" s="105" t="e">
        <f ca="1">INDIRECT(CG$799&amp;CP796)</f>
        <v>#N/A</v>
      </c>
      <c r="CP796" s="105" t="e">
        <f ca="1">IF(ISBLANK(INDIRECT(CG$799&amp;CP795-1)), LOOKUP(2,1 / (CP$2:(INDIRECT(CG$799&amp;CP795-2)) &lt;&gt; ""),ROW(CP$2:(INDIRECT(CG$799&amp;CP795-2)))),LOOKUP(2,1 / (CP$2:(INDIRECT(CG$799&amp;CP795-1)) &lt;&gt; ""),ROW(CP$2:(INDIRECT(CG$799&amp;CP795-1)))))</f>
        <v>#N/A</v>
      </c>
      <c r="CS796" s="321" t="s">
        <v>174</v>
      </c>
      <c r="CT796" s="105">
        <f ca="1">COUNTIF(DB2:DB789,"L")</f>
        <v>0</v>
      </c>
      <c r="CV796" s="321" t="s">
        <v>176</v>
      </c>
      <c r="CW796" s="105" t="str">
        <f ca="1">INDIRECT(CT799&amp;DB797)</f>
        <v>A</v>
      </c>
      <c r="CY796" s="105" t="e">
        <f ca="1">INDIRECT(CS$799&amp;DB796)</f>
        <v>#N/A</v>
      </c>
      <c r="DB796" s="105" t="e">
        <f ca="1">IF(ISBLANK(INDIRECT(CS$799&amp;DB795-1)), LOOKUP(2,1 / (DB$2:(INDIRECT(CS$799&amp;DB795-2)) &lt;&gt; ""),ROW(DB$2:(INDIRECT(CS$799&amp;DB795-2)))),LOOKUP(2,1 / (DB$2:(INDIRECT(CS$799&amp;DB795-1)) &lt;&gt; ""),ROW(DB$2:(INDIRECT(CS$799&amp;DB795-1)))))</f>
        <v>#N/A</v>
      </c>
      <c r="DE796" s="321" t="s">
        <v>174</v>
      </c>
      <c r="DF796" s="105">
        <f ca="1">COUNTIF(DN2:DN789,"L")</f>
        <v>0</v>
      </c>
      <c r="DH796" s="321" t="s">
        <v>176</v>
      </c>
      <c r="DI796" s="105" t="str">
        <f ca="1">INDIRECT(DF799&amp;DN797)</f>
        <v>A</v>
      </c>
      <c r="DK796" s="105" t="e">
        <f ca="1">INDIRECT(DE$799&amp;DN796)</f>
        <v>#N/A</v>
      </c>
      <c r="DN796" s="105" t="e">
        <f ca="1">IF(ISBLANK(INDIRECT(DE$799&amp;DN795-1)), LOOKUP(2,1 / (DN$2:(INDIRECT(DE$799&amp;DN795-2)) &lt;&gt; ""),ROW(DN$2:(INDIRECT(DE$799&amp;DN795-2)))),LOOKUP(2,1 / (DN$2:(INDIRECT(DE$799&amp;DN795-1)) &lt;&gt; ""),ROW(DN$2:(INDIRECT(DE$799&amp;DN795-1)))))</f>
        <v>#N/A</v>
      </c>
      <c r="DQ796" s="321" t="s">
        <v>174</v>
      </c>
      <c r="DR796" s="105">
        <f ca="1">COUNTIF(DZ2:DZ789,"L")</f>
        <v>0</v>
      </c>
      <c r="DT796" s="321" t="s">
        <v>176</v>
      </c>
      <c r="DU796" s="105" t="str">
        <f ca="1">INDIRECT(DR799&amp;DZ797)</f>
        <v>H</v>
      </c>
      <c r="DW796" s="105" t="e">
        <f ca="1">INDIRECT(DQ$799&amp;DZ796)</f>
        <v>#N/A</v>
      </c>
      <c r="DZ796" s="105" t="e">
        <f ca="1">IF(ISBLANK(INDIRECT(DQ$799&amp;DZ795-1)), LOOKUP(2,1 / (DZ$2:(INDIRECT(DQ$799&amp;DZ795-2)) &lt;&gt; ""),ROW(DZ$2:(INDIRECT(DQ$799&amp;DZ795-2)))),LOOKUP(2,1 / (DZ$2:(INDIRECT(DQ$799&amp;DZ795-1)) &lt;&gt; ""),ROW(DZ$2:(INDIRECT(DQ$799&amp;DZ795-1)))))</f>
        <v>#N/A</v>
      </c>
      <c r="EC796" s="321" t="s">
        <v>174</v>
      </c>
      <c r="ED796" s="105">
        <f ca="1">COUNTIF(EL2:EL789,"L")</f>
        <v>0</v>
      </c>
      <c r="EF796" s="321" t="s">
        <v>176</v>
      </c>
      <c r="EG796" s="105" t="str">
        <f ca="1">INDIRECT(ED799&amp;EL797)</f>
        <v>H</v>
      </c>
      <c r="EI796" s="105" t="e">
        <f ca="1">INDIRECT(EC$799&amp;EL796)</f>
        <v>#N/A</v>
      </c>
      <c r="EL796" s="105" t="e">
        <f ca="1">IF(ISBLANK(INDIRECT(EC$799&amp;EL795-1)), LOOKUP(2,1 / (EL$2:(INDIRECT(EC$799&amp;EL795-2)) &lt;&gt; ""),ROW(EL$2:(INDIRECT(EC$799&amp;EL795-2)))),LOOKUP(2,1 / (EL$2:(INDIRECT(EC$799&amp;EL795-1)) &lt;&gt; ""),ROW(EL$2:(INDIRECT(EC$799&amp;EL795-1)))))</f>
        <v>#N/A</v>
      </c>
      <c r="EO796" s="321" t="s">
        <v>174</v>
      </c>
      <c r="EP796" s="105">
        <f ca="1">COUNTIF(EX2:EX789,"L")</f>
        <v>0</v>
      </c>
      <c r="ER796" s="321" t="s">
        <v>176</v>
      </c>
      <c r="ES796" s="105" t="str">
        <f ca="1">INDIRECT(EP799&amp;EX797)</f>
        <v>A</v>
      </c>
      <c r="EU796" s="105" t="e">
        <f ca="1">INDIRECT(EO$799&amp;EX796)</f>
        <v>#N/A</v>
      </c>
      <c r="EX796" s="105" t="e">
        <f ca="1">IF(ISBLANK(INDIRECT(EO$799&amp;EX795-1)), LOOKUP(2,1 / (EX$2:(INDIRECT(EO$799&amp;EX795-2)) &lt;&gt; ""),ROW(EX$2:(INDIRECT(EO$799&amp;EX795-2)))),LOOKUP(2,1 / (EX$2:(INDIRECT(EO$799&amp;EX795-1)) &lt;&gt; ""),ROW(EX$2:(INDIRECT(EO$799&amp;EX795-1)))))</f>
        <v>#N/A</v>
      </c>
      <c r="FA796" s="321" t="s">
        <v>174</v>
      </c>
      <c r="FB796" s="105">
        <f ca="1">COUNTIF(FJ2:FJ789,"L")</f>
        <v>0</v>
      </c>
      <c r="FD796" s="321" t="s">
        <v>176</v>
      </c>
      <c r="FE796" s="105" t="str">
        <f ca="1">INDIRECT(FB799&amp;FJ797)</f>
        <v>H</v>
      </c>
      <c r="FG796" s="105" t="e">
        <f ca="1">INDIRECT(FA$799&amp;FJ796)</f>
        <v>#N/A</v>
      </c>
      <c r="FJ796" s="105" t="e">
        <f ca="1">IF(ISBLANK(INDIRECT(FA$799&amp;FJ795-1)), LOOKUP(2,1 / (FJ$2:(INDIRECT(FA$799&amp;FJ795-2)) &lt;&gt; ""),ROW(FJ$2:(INDIRECT(FA$799&amp;FJ795-2)))),LOOKUP(2,1 / (FJ$2:(INDIRECT(FA$799&amp;FJ795-1)) &lt;&gt; ""),ROW(FJ$2:(INDIRECT(FA$799&amp;FJ795-1)))))</f>
        <v>#N/A</v>
      </c>
      <c r="FM796" s="321" t="s">
        <v>174</v>
      </c>
      <c r="FN796" s="105">
        <f ca="1">COUNTIF(FV2:FV789,"L")</f>
        <v>0</v>
      </c>
      <c r="FP796" s="321" t="s">
        <v>176</v>
      </c>
      <c r="FQ796" s="105" t="str">
        <f ca="1">INDIRECT(FN799&amp;FV797)</f>
        <v>A</v>
      </c>
      <c r="FS796" s="105" t="e">
        <f ca="1">INDIRECT(FM$799&amp;FV796)</f>
        <v>#N/A</v>
      </c>
      <c r="FV796" s="105" t="e">
        <f ca="1">IF(ISBLANK(INDIRECT(FM$799&amp;FV795-1)), LOOKUP(2,1 / (FV$2:(INDIRECT(FM$799&amp;FV795-2)) &lt;&gt; ""),ROW(FV$2:(INDIRECT(FM$799&amp;FV795-2)))),LOOKUP(2,1 / (FV$2:(INDIRECT(FM$799&amp;FV795-1)) &lt;&gt; ""),ROW(FV$2:(INDIRECT(FM$799&amp;FV795-1)))))</f>
        <v>#N/A</v>
      </c>
      <c r="FY796" s="321" t="s">
        <v>174</v>
      </c>
      <c r="FZ796" s="105">
        <f ca="1">COUNTIF(GH2:GH789,"L")</f>
        <v>0</v>
      </c>
      <c r="GB796" s="321" t="s">
        <v>176</v>
      </c>
      <c r="GC796" s="105" t="str">
        <f ca="1">INDIRECT(FZ799&amp;GH797)</f>
        <v>H</v>
      </c>
      <c r="GE796" s="105" t="e">
        <f ca="1">INDIRECT(FY$799&amp;GH796)</f>
        <v>#N/A</v>
      </c>
      <c r="GH796" s="105" t="e">
        <f ca="1">IF(ISBLANK(INDIRECT(FY$799&amp;GH795-1)), LOOKUP(2,1 / (GH$2:(INDIRECT(FY$799&amp;GH795-2)) &lt;&gt; ""),ROW(GH$2:(INDIRECT(FY$799&amp;GH795-2)))),LOOKUP(2,1 / (GH$2:(INDIRECT(FY$799&amp;GH795-1)) &lt;&gt; ""),ROW(GH$2:(INDIRECT(FY$799&amp;GH795-1)))))</f>
        <v>#N/A</v>
      </c>
      <c r="GK796" s="321" t="s">
        <v>174</v>
      </c>
      <c r="GL796" s="105">
        <f ca="1">COUNTIF(GT2:GT789,"L")</f>
        <v>0</v>
      </c>
      <c r="GN796" s="321" t="s">
        <v>176</v>
      </c>
      <c r="GO796" s="105" t="str">
        <f ca="1">INDIRECT(GL799&amp;GT797)</f>
        <v>H</v>
      </c>
      <c r="GQ796" s="105" t="e">
        <f ca="1">INDIRECT(GK$799&amp;GT796)</f>
        <v>#N/A</v>
      </c>
      <c r="GT796" s="105" t="e">
        <f ca="1">IF(ISBLANK(INDIRECT(GK$799&amp;GT795-1)), LOOKUP(2,1 / (GT$2:(INDIRECT(GK$799&amp;GT795-2)) &lt;&gt; ""),ROW(GT$2:(INDIRECT(GK$799&amp;GT795-2)))),LOOKUP(2,1 / (GT$2:(INDIRECT(GK$799&amp;GT795-1)) &lt;&gt; ""),ROW(GT$2:(INDIRECT(GK$799&amp;GT795-1)))))</f>
        <v>#N/A</v>
      </c>
      <c r="GW796" s="321" t="s">
        <v>174</v>
      </c>
      <c r="GX796" s="105">
        <f ca="1">COUNTIF(HF2:HF789,"L")</f>
        <v>0</v>
      </c>
      <c r="GZ796" s="321" t="s">
        <v>176</v>
      </c>
      <c r="HA796" s="105" t="str">
        <f ca="1">INDIRECT(GX799&amp;HF797)</f>
        <v>H</v>
      </c>
      <c r="HC796" s="105" t="e">
        <f ca="1">INDIRECT(GW$799&amp;HF796)</f>
        <v>#N/A</v>
      </c>
      <c r="HF796" s="105" t="e">
        <f ca="1">IF(ISBLANK(INDIRECT(GW$799&amp;HF795-1)), LOOKUP(2,1 / (HF$2:(INDIRECT(GW$799&amp;HF795-2)) &lt;&gt; ""),ROW(HF$2:(INDIRECT(GW$799&amp;HF795-2)))),LOOKUP(2,1 / (HF$2:(INDIRECT(GW$799&amp;HF795-1)) &lt;&gt; ""),ROW(HF$2:(INDIRECT(GW$799&amp;HF795-1)))))</f>
        <v>#N/A</v>
      </c>
      <c r="HI796" s="321" t="s">
        <v>174</v>
      </c>
      <c r="HJ796" s="105">
        <f ca="1">COUNTIF(HR2:HR789,"L")</f>
        <v>0</v>
      </c>
      <c r="HL796" s="321" t="s">
        <v>176</v>
      </c>
      <c r="HM796" s="105" t="str">
        <f ca="1">INDIRECT(HJ799&amp;HR797)</f>
        <v>A</v>
      </c>
      <c r="HO796" s="105" t="e">
        <f ca="1">INDIRECT(HI$799&amp;HR796)</f>
        <v>#N/A</v>
      </c>
      <c r="HR796" s="105" t="e">
        <f ca="1">IF(ISBLANK(INDIRECT(HI$799&amp;HR795-1)), LOOKUP(2,1 / (HR$2:(INDIRECT(HI$799&amp;HR795-2)) &lt;&gt; ""),ROW(HR$2:(INDIRECT(HI$799&amp;HR795-2)))),LOOKUP(2,1 / (HR$2:(INDIRECT(HI$799&amp;HR795-1)) &lt;&gt; ""),ROW(HR$2:(INDIRECT(HI$799&amp;HR795-1)))))</f>
        <v>#N/A</v>
      </c>
      <c r="HU796" s="321" t="s">
        <v>174</v>
      </c>
      <c r="HV796" s="105">
        <f ca="1">COUNTIF(ID2:ID789,"L")</f>
        <v>0</v>
      </c>
      <c r="HX796" s="321" t="s">
        <v>176</v>
      </c>
      <c r="HY796" s="105" t="str">
        <f ca="1">INDIRECT(HV799&amp;ID797)</f>
        <v>H</v>
      </c>
      <c r="IA796" s="105" t="e">
        <f ca="1">INDIRECT(HU$799&amp;ID796)</f>
        <v>#N/A</v>
      </c>
      <c r="ID796" s="105" t="e">
        <f ca="1">IF(ISBLANK(INDIRECT(HU$799&amp;ID795-1)), LOOKUP(2,1 / (ID$2:(INDIRECT(HU$799&amp;ID795-2)) &lt;&gt; ""),ROW(ID$2:(INDIRECT(HU$799&amp;ID795-2)))),LOOKUP(2,1 / (ID$2:(INDIRECT(HU$799&amp;ID795-1)) &lt;&gt; ""),ROW(ID$2:(INDIRECT(HU$799&amp;ID795-1)))))</f>
        <v>#N/A</v>
      </c>
    </row>
    <row r="797" spans="1:239" hidden="1">
      <c r="D797" s="321" t="s">
        <v>178</v>
      </c>
      <c r="E797" s="105">
        <f ca="1">INDIRECT(D799&amp;J797)</f>
        <v>0</v>
      </c>
      <c r="J797" s="105">
        <f ca="1">IF(ISBLANK(INDIRECT(B$799&amp;J792+1)), LOOKUP(2,1 / (E$2:(INDIRECT(B$799&amp;J792+2)) &lt;&gt; ""),ROW(E$2:(INDIRECT(B$799&amp;J792+2)))),LOOKUP(2,1 / (E$2:(INDIRECT(B$799&amp;J792+1)) &lt;&gt; ""),ROW(E$2:(INDIRECT(B$799&amp;J792+1)))))</f>
        <v>59</v>
      </c>
      <c r="P797" s="321" t="s">
        <v>178</v>
      </c>
      <c r="Q797" s="105">
        <f ca="1">INDIRECT(P799&amp;V797)</f>
        <v>0</v>
      </c>
      <c r="V797" s="105">
        <f ca="1">IF(ISBLANK(INDIRECT(N$799&amp;V792+1)), LOOKUP(2,1 / (Q$2:(INDIRECT(N$799&amp;V792+2)) &lt;&gt; ""),ROW(Q$2:(INDIRECT(N$799&amp;V792+2)))),LOOKUP(2,1 / (Q$2:(INDIRECT(N$799&amp;V792+1)) &lt;&gt; ""),ROW(Q$2:(INDIRECT(N$799&amp;V792+1)))))</f>
        <v>59</v>
      </c>
      <c r="AB797" s="321" t="s">
        <v>178</v>
      </c>
      <c r="AC797" s="105">
        <f ca="1">INDIRECT(AB799&amp;AH797)</f>
        <v>0</v>
      </c>
      <c r="AH797" s="105">
        <f ca="1">IF(ISBLANK(INDIRECT(Z$799&amp;AH792+1)), LOOKUP(2,1 / (AC$2:(INDIRECT(Z$799&amp;AH792+2)) &lt;&gt; ""),ROW(AC$2:(INDIRECT(Z$799&amp;AH792+2)))),LOOKUP(2,1 / (AC$2:(INDIRECT(Z$799&amp;AH792+1)) &lt;&gt; ""),ROW(AC$2:(INDIRECT(Z$799&amp;AH792+1)))))</f>
        <v>59</v>
      </c>
      <c r="AN797" s="321" t="s">
        <v>178</v>
      </c>
      <c r="AO797" s="105">
        <f ca="1">INDIRECT(AN799&amp;AT797)</f>
        <v>0</v>
      </c>
      <c r="AT797" s="105">
        <f ca="1">IF(ISBLANK(INDIRECT(AL$799&amp;AT792+1)), LOOKUP(2,1 / (AO$2:(INDIRECT(AL$799&amp;AT792+2)) &lt;&gt; ""),ROW(AO$2:(INDIRECT(AL$799&amp;AT792+2)))),LOOKUP(2,1 / (AO$2:(INDIRECT(AL$799&amp;AT792+1)) &lt;&gt; ""),ROW(AO$2:(INDIRECT(AL$799&amp;AT792+1)))))</f>
        <v>59</v>
      </c>
      <c r="AZ797" s="321" t="s">
        <v>178</v>
      </c>
      <c r="BA797" s="105">
        <f ca="1">INDIRECT(AZ799&amp;BF797)</f>
        <v>0</v>
      </c>
      <c r="BF797" s="105">
        <f ca="1">IF(ISBLANK(INDIRECT(AX$799&amp;BF792+1)), LOOKUP(2,1 / (BA$2:(INDIRECT(AX$799&amp;BF792+2)) &lt;&gt; ""),ROW(BA$2:(INDIRECT(AX$799&amp;BF792+2)))),LOOKUP(2,1 / (BA$2:(INDIRECT(AX$799&amp;BF792+1)) &lt;&gt; ""),ROW(BA$2:(INDIRECT(AX$799&amp;BF792+1)))))</f>
        <v>59</v>
      </c>
      <c r="BL797" s="321" t="s">
        <v>178</v>
      </c>
      <c r="BM797" s="105">
        <f ca="1">INDIRECT(BL799&amp;BR797)</f>
        <v>0</v>
      </c>
      <c r="BR797" s="105">
        <f ca="1">IF(ISBLANK(INDIRECT(BJ$799&amp;BR792+1)), LOOKUP(2,1 / (BM$2:(INDIRECT(BJ$799&amp;BR792+2)) &lt;&gt; ""),ROW(BM$2:(INDIRECT(BJ$799&amp;BR792+2)))),LOOKUP(2,1 / (BM$2:(INDIRECT(BJ$799&amp;BR792+1)) &lt;&gt; ""),ROW(BM$2:(INDIRECT(BJ$799&amp;BR792+1)))))</f>
        <v>59</v>
      </c>
      <c r="BX797" s="321" t="s">
        <v>178</v>
      </c>
      <c r="BY797" s="105">
        <f ca="1">INDIRECT(BX799&amp;CD797)</f>
        <v>0</v>
      </c>
      <c r="CD797" s="105">
        <f ca="1">IF(ISBLANK(INDIRECT(BV$799&amp;CD792+1)), LOOKUP(2,1 / (BY$2:(INDIRECT(BV$799&amp;CD792+2)) &lt;&gt; ""),ROW(BY$2:(INDIRECT(BV$799&amp;CD792+2)))),LOOKUP(2,1 / (BY$2:(INDIRECT(BV$799&amp;CD792+1)) &lt;&gt; ""),ROW(BY$2:(INDIRECT(BV$799&amp;CD792+1)))))</f>
        <v>59</v>
      </c>
      <c r="CJ797" s="321" t="s">
        <v>178</v>
      </c>
      <c r="CK797" s="105">
        <f ca="1">INDIRECT(CJ799&amp;CP797)</f>
        <v>0</v>
      </c>
      <c r="CP797" s="105">
        <f ca="1">IF(ISBLANK(INDIRECT(CH$799&amp;CP792+1)), LOOKUP(2,1 / (CK$2:(INDIRECT(CH$799&amp;CP792+2)) &lt;&gt; ""),ROW(CK$2:(INDIRECT(CH$799&amp;CP792+2)))),LOOKUP(2,1 / (CK$2:(INDIRECT(CH$799&amp;CP792+1)) &lt;&gt; ""),ROW(CK$2:(INDIRECT(CH$799&amp;CP792+1)))))</f>
        <v>59</v>
      </c>
      <c r="CV797" s="321" t="s">
        <v>178</v>
      </c>
      <c r="CW797" s="105">
        <f ca="1">INDIRECT(CV799&amp;DB797)</f>
        <v>0</v>
      </c>
      <c r="DB797" s="105">
        <f ca="1">IF(ISBLANK(INDIRECT(CT$799&amp;DB792+1)), LOOKUP(2,1 / (CW$2:(INDIRECT(CT$799&amp;DB792+2)) &lt;&gt; ""),ROW(CW$2:(INDIRECT(CT$799&amp;DB792+2)))),LOOKUP(2,1 / (CW$2:(INDIRECT(CT$799&amp;DB792+1)) &lt;&gt; ""),ROW(CW$2:(INDIRECT(CT$799&amp;DB792+1)))))</f>
        <v>59</v>
      </c>
      <c r="DH797" s="321" t="s">
        <v>178</v>
      </c>
      <c r="DI797" s="105">
        <f ca="1">INDIRECT(DH799&amp;DN797)</f>
        <v>0</v>
      </c>
      <c r="DN797" s="105">
        <f ca="1">IF(ISBLANK(INDIRECT(DF$799&amp;DN792+1)), LOOKUP(2,1 / (DI$2:(INDIRECT(DF$799&amp;DN792+2)) &lt;&gt; ""),ROW(DI$2:(INDIRECT(DF$799&amp;DN792+2)))),LOOKUP(2,1 / (DI$2:(INDIRECT(DF$799&amp;DN792+1)) &lt;&gt; ""),ROW(DI$2:(INDIRECT(DF$799&amp;DN792+1)))))</f>
        <v>59</v>
      </c>
      <c r="DT797" s="321" t="s">
        <v>178</v>
      </c>
      <c r="DU797" s="105">
        <f ca="1">INDIRECT(DT799&amp;DZ797)</f>
        <v>0</v>
      </c>
      <c r="DZ797" s="105">
        <f ca="1">IF(ISBLANK(INDIRECT(DR$799&amp;DZ792+1)), LOOKUP(2,1 / (DU$2:(INDIRECT(DR$799&amp;DZ792+2)) &lt;&gt; ""),ROW(DU$2:(INDIRECT(DR$799&amp;DZ792+2)))),LOOKUP(2,1 / (DU$2:(INDIRECT(DR$799&amp;DZ792+1)) &lt;&gt; ""),ROW(DU$2:(INDIRECT(DR$799&amp;DZ792+1)))))</f>
        <v>59</v>
      </c>
      <c r="EF797" s="321" t="s">
        <v>178</v>
      </c>
      <c r="EG797" s="105">
        <f ca="1">INDIRECT(EF799&amp;EL797)</f>
        <v>0</v>
      </c>
      <c r="EL797" s="105">
        <f ca="1">IF(ISBLANK(INDIRECT(ED$799&amp;EL792+1)), LOOKUP(2,1 / (EG$2:(INDIRECT(ED$799&amp;EL792+2)) &lt;&gt; ""),ROW(EG$2:(INDIRECT(ED$799&amp;EL792+2)))),LOOKUP(2,1 / (EG$2:(INDIRECT(ED$799&amp;EL792+1)) &lt;&gt; ""),ROW(EG$2:(INDIRECT(ED$799&amp;EL792+1)))))</f>
        <v>59</v>
      </c>
      <c r="ER797" s="321" t="s">
        <v>178</v>
      </c>
      <c r="ES797" s="105">
        <f ca="1">INDIRECT(ER799&amp;EX797)</f>
        <v>0</v>
      </c>
      <c r="EX797" s="105">
        <f ca="1">IF(ISBLANK(INDIRECT(EP$799&amp;EX792+1)), LOOKUP(2,1 / (ES$2:(INDIRECT(EP$799&amp;EX792+2)) &lt;&gt; ""),ROW(ES$2:(INDIRECT(EP$799&amp;EX792+2)))),LOOKUP(2,1 / (ES$2:(INDIRECT(EP$799&amp;EX792+1)) &lt;&gt; ""),ROW(ES$2:(INDIRECT(EP$799&amp;EX792+1)))))</f>
        <v>59</v>
      </c>
      <c r="FD797" s="321" t="s">
        <v>178</v>
      </c>
      <c r="FE797" s="105">
        <f ca="1">INDIRECT(FD799&amp;FJ797)</f>
        <v>0</v>
      </c>
      <c r="FJ797" s="105">
        <f ca="1">IF(ISBLANK(INDIRECT(FB$799&amp;FJ792+1)), LOOKUP(2,1 / (FE$2:(INDIRECT(FB$799&amp;FJ792+2)) &lt;&gt; ""),ROW(FE$2:(INDIRECT(FB$799&amp;FJ792+2)))),LOOKUP(2,1 / (FE$2:(INDIRECT(FB$799&amp;FJ792+1)) &lt;&gt; ""),ROW(FE$2:(INDIRECT(FB$799&amp;FJ792+1)))))</f>
        <v>59</v>
      </c>
      <c r="FP797" s="321" t="s">
        <v>178</v>
      </c>
      <c r="FQ797" s="105">
        <f ca="1">INDIRECT(FP799&amp;FV797)</f>
        <v>0</v>
      </c>
      <c r="FV797" s="105">
        <f ca="1">IF(ISBLANK(INDIRECT(FN$799&amp;FV792+1)), LOOKUP(2,1 / (FQ$2:(INDIRECT(FN$799&amp;FV792+2)) &lt;&gt; ""),ROW(FQ$2:(INDIRECT(FN$799&amp;FV792+2)))),LOOKUP(2,1 / (FQ$2:(INDIRECT(FN$799&amp;FV792+1)) &lt;&gt; ""),ROW(FQ$2:(INDIRECT(FN$799&amp;FV792+1)))))</f>
        <v>59</v>
      </c>
      <c r="GB797" s="321" t="s">
        <v>178</v>
      </c>
      <c r="GC797" s="105">
        <f ca="1">INDIRECT(GB799&amp;GH797)</f>
        <v>0</v>
      </c>
      <c r="GH797" s="105">
        <f ca="1">IF(ISBLANK(INDIRECT(FZ$799&amp;GH792+1)), LOOKUP(2,1 / (GC$2:(INDIRECT(FZ$799&amp;GH792+2)) &lt;&gt; ""),ROW(GC$2:(INDIRECT(FZ$799&amp;GH792+2)))),LOOKUP(2,1 / (GC$2:(INDIRECT(FZ$799&amp;GH792+1)) &lt;&gt; ""),ROW(GC$2:(INDIRECT(FZ$799&amp;GH792+1)))))</f>
        <v>59</v>
      </c>
      <c r="GN797" s="321" t="s">
        <v>178</v>
      </c>
      <c r="GO797" s="105">
        <f ca="1">INDIRECT(GN799&amp;GT797)</f>
        <v>0</v>
      </c>
      <c r="GT797" s="105">
        <f ca="1">IF(ISBLANK(INDIRECT(GL$799&amp;GT792+1)), LOOKUP(2,1 / (GO$2:(INDIRECT(GL$799&amp;GT792+2)) &lt;&gt; ""),ROW(GO$2:(INDIRECT(GL$799&amp;GT792+2)))),LOOKUP(2,1 / (GO$2:(INDIRECT(GL$799&amp;GT792+1)) &lt;&gt; ""),ROW(GO$2:(INDIRECT(GL$799&amp;GT792+1)))))</f>
        <v>59</v>
      </c>
      <c r="GZ797" s="321" t="s">
        <v>178</v>
      </c>
      <c r="HA797" s="105">
        <f ca="1">INDIRECT(GZ799&amp;HF797)</f>
        <v>0</v>
      </c>
      <c r="HF797" s="105">
        <f ca="1">IF(ISBLANK(INDIRECT(GX$799&amp;HF792+1)), LOOKUP(2,1 / (HA$2:(INDIRECT(GX$799&amp;HF792+2)) &lt;&gt; ""),ROW(HA$2:(INDIRECT(GX$799&amp;HF792+2)))),LOOKUP(2,1 / (HA$2:(INDIRECT(GX$799&amp;HF792+1)) &lt;&gt; ""),ROW(HA$2:(INDIRECT(GX$799&amp;HF792+1)))))</f>
        <v>59</v>
      </c>
      <c r="HL797" s="321" t="s">
        <v>178</v>
      </c>
      <c r="HM797" s="105">
        <f ca="1">INDIRECT(HL799&amp;HR797)</f>
        <v>0</v>
      </c>
      <c r="HR797" s="105">
        <f ca="1">IF(ISBLANK(INDIRECT(HJ$799&amp;HR792+1)), LOOKUP(2,1 / (HM$2:(INDIRECT(HJ$799&amp;HR792+2)) &lt;&gt; ""),ROW(HM$2:(INDIRECT(HJ$799&amp;HR792+2)))),LOOKUP(2,1 / (HM$2:(INDIRECT(HJ$799&amp;HR792+1)) &lt;&gt; ""),ROW(HM$2:(INDIRECT(HJ$799&amp;HR792+1)))))</f>
        <v>59</v>
      </c>
      <c r="HX797" s="321" t="s">
        <v>178</v>
      </c>
      <c r="HY797" s="105">
        <f ca="1">INDIRECT(HX799&amp;ID797)</f>
        <v>0</v>
      </c>
      <c r="ID797" s="105">
        <f ca="1">IF(ISBLANK(INDIRECT(HV$799&amp;ID792+1)), LOOKUP(2,1 / (HY$2:(INDIRECT(HV$799&amp;ID792+2)) &lt;&gt; ""),ROW(HY$2:(INDIRECT(HV$799&amp;ID792+2)))),LOOKUP(2,1 / (HY$2:(INDIRECT(HV$799&amp;ID792+1)) &lt;&gt; ""),ROW(HY$2:(INDIRECT(HV$799&amp;ID792+1)))))</f>
        <v>59</v>
      </c>
    </row>
    <row r="798" spans="1:239" hidden="1"/>
    <row r="799" spans="1:239" hidden="1">
      <c r="A799" s="115" t="str">
        <f>SUBSTITUTE(ADDRESS(1,COLUMN(J2),4),"1","")</f>
        <v>J</v>
      </c>
      <c r="B799" s="115" t="str">
        <f>SUBSTITUTE(ADDRESS(1,COLUMN(E2),4),"1","")</f>
        <v>E</v>
      </c>
      <c r="D799" s="115" t="str">
        <f>SUBSTITUTE(ADDRESS(1,COLUMN(F2),4),"1","")</f>
        <v>F</v>
      </c>
      <c r="M799" s="115" t="str">
        <f>SUBSTITUTE(ADDRESS(1,COLUMN(V2),4),"1","")</f>
        <v>V</v>
      </c>
      <c r="N799" s="115" t="str">
        <f>SUBSTITUTE(ADDRESS(1,COLUMN(Q2),4),"1","")</f>
        <v>Q</v>
      </c>
      <c r="P799" s="115" t="str">
        <f>SUBSTITUTE(ADDRESS(1,COLUMN(R2),4),"1","")</f>
        <v>R</v>
      </c>
      <c r="Y799" s="115" t="str">
        <f>SUBSTITUTE(ADDRESS(1,COLUMN(AH2),4),"1","")</f>
        <v>AH</v>
      </c>
      <c r="Z799" s="115" t="str">
        <f>SUBSTITUTE(ADDRESS(1,COLUMN(AC2),4),"1","")</f>
        <v>AC</v>
      </c>
      <c r="AB799" s="115" t="str">
        <f>SUBSTITUTE(ADDRESS(1,COLUMN(AD2),4),"1","")</f>
        <v>AD</v>
      </c>
      <c r="AK799" s="115" t="str">
        <f>SUBSTITUTE(ADDRESS(1,COLUMN(AT2),4),"1","")</f>
        <v>AT</v>
      </c>
      <c r="AL799" s="115" t="str">
        <f>SUBSTITUTE(ADDRESS(1,COLUMN(AO2),4),"1","")</f>
        <v>AO</v>
      </c>
      <c r="AN799" s="115" t="str">
        <f>SUBSTITUTE(ADDRESS(1,COLUMN(AP2),4),"1","")</f>
        <v>AP</v>
      </c>
      <c r="AW799" s="115" t="str">
        <f>SUBSTITUTE(ADDRESS(1,COLUMN(BF2),4),"1","")</f>
        <v>BF</v>
      </c>
      <c r="AX799" s="115" t="str">
        <f>SUBSTITUTE(ADDRESS(1,COLUMN(BA2),4),"1","")</f>
        <v>BA</v>
      </c>
      <c r="AZ799" s="115" t="str">
        <f>SUBSTITUTE(ADDRESS(1,COLUMN(BB2),4),"1","")</f>
        <v>BB</v>
      </c>
      <c r="BI799" s="115" t="str">
        <f>SUBSTITUTE(ADDRESS(1,COLUMN(BR2),4),"1","")</f>
        <v>BR</v>
      </c>
      <c r="BJ799" s="115" t="str">
        <f>SUBSTITUTE(ADDRESS(1,COLUMN(BM2),4),"1","")</f>
        <v>BM</v>
      </c>
      <c r="BL799" s="115" t="str">
        <f>SUBSTITUTE(ADDRESS(1,COLUMN(BN2),4),"1","")</f>
        <v>BN</v>
      </c>
      <c r="BU799" s="115" t="str">
        <f>SUBSTITUTE(ADDRESS(1,COLUMN(CD2),4),"1","")</f>
        <v>CD</v>
      </c>
      <c r="BV799" s="115" t="str">
        <f>SUBSTITUTE(ADDRESS(1,COLUMN(BY2),4),"1","")</f>
        <v>BY</v>
      </c>
      <c r="BX799" s="115" t="str">
        <f>SUBSTITUTE(ADDRESS(1,COLUMN(BZ2),4),"1","")</f>
        <v>BZ</v>
      </c>
      <c r="CG799" s="115" t="str">
        <f>SUBSTITUTE(ADDRESS(1,COLUMN(CP2),4),"1","")</f>
        <v>CP</v>
      </c>
      <c r="CH799" s="115" t="str">
        <f>SUBSTITUTE(ADDRESS(1,COLUMN(CK2),4),"1","")</f>
        <v>CK</v>
      </c>
      <c r="CJ799" s="115" t="str">
        <f>SUBSTITUTE(ADDRESS(1,COLUMN(CL2),4),"1","")</f>
        <v>CL</v>
      </c>
      <c r="CS799" s="115" t="str">
        <f>SUBSTITUTE(ADDRESS(1,COLUMN(DB2),4),"1","")</f>
        <v>DB</v>
      </c>
      <c r="CT799" s="115" t="str">
        <f>SUBSTITUTE(ADDRESS(1,COLUMN(CW2),4),"1","")</f>
        <v>CW</v>
      </c>
      <c r="CV799" s="115" t="str">
        <f>SUBSTITUTE(ADDRESS(1,COLUMN(CX2),4),"1","")</f>
        <v>CX</v>
      </c>
      <c r="DE799" s="115" t="str">
        <f>SUBSTITUTE(ADDRESS(1,COLUMN(DN2),4),"1","")</f>
        <v>DN</v>
      </c>
      <c r="DF799" s="115" t="str">
        <f>SUBSTITUTE(ADDRESS(1,COLUMN(DI2),4),"1","")</f>
        <v>DI</v>
      </c>
      <c r="DH799" s="115" t="str">
        <f>SUBSTITUTE(ADDRESS(1,COLUMN(DJ2),4),"1","")</f>
        <v>DJ</v>
      </c>
      <c r="DQ799" s="115" t="str">
        <f>SUBSTITUTE(ADDRESS(1,COLUMN(DZ2),4),"1","")</f>
        <v>DZ</v>
      </c>
      <c r="DR799" s="115" t="str">
        <f>SUBSTITUTE(ADDRESS(1,COLUMN(DU2),4),"1","")</f>
        <v>DU</v>
      </c>
      <c r="DT799" s="115" t="str">
        <f>SUBSTITUTE(ADDRESS(1,COLUMN(DV2),4),"1","")</f>
        <v>DV</v>
      </c>
      <c r="EC799" s="115" t="str">
        <f>SUBSTITUTE(ADDRESS(1,COLUMN(EL2),4),"1","")</f>
        <v>EL</v>
      </c>
      <c r="ED799" s="115" t="str">
        <f>SUBSTITUTE(ADDRESS(1,COLUMN(EG2),4),"1","")</f>
        <v>EG</v>
      </c>
      <c r="EF799" s="115" t="str">
        <f>SUBSTITUTE(ADDRESS(1,COLUMN(EH2),4),"1","")</f>
        <v>EH</v>
      </c>
      <c r="EO799" s="115" t="str">
        <f>SUBSTITUTE(ADDRESS(1,COLUMN(EX2),4),"1","")</f>
        <v>EX</v>
      </c>
      <c r="EP799" s="115" t="str">
        <f>SUBSTITUTE(ADDRESS(1,COLUMN(ES2),4),"1","")</f>
        <v>ES</v>
      </c>
      <c r="ER799" s="115" t="str">
        <f>SUBSTITUTE(ADDRESS(1,COLUMN(ET2),4),"1","")</f>
        <v>ET</v>
      </c>
      <c r="FA799" s="115" t="str">
        <f>SUBSTITUTE(ADDRESS(1,COLUMN(FJ2),4),"1","")</f>
        <v>FJ</v>
      </c>
      <c r="FB799" s="115" t="str">
        <f>SUBSTITUTE(ADDRESS(1,COLUMN(FE2),4),"1","")</f>
        <v>FE</v>
      </c>
      <c r="FD799" s="115" t="str">
        <f>SUBSTITUTE(ADDRESS(1,COLUMN(FF2),4),"1","")</f>
        <v>FF</v>
      </c>
      <c r="FM799" s="115" t="str">
        <f>SUBSTITUTE(ADDRESS(1,COLUMN(FV2),4),"1","")</f>
        <v>FV</v>
      </c>
      <c r="FN799" s="115" t="str">
        <f>SUBSTITUTE(ADDRESS(1,COLUMN(FQ2),4),"1","")</f>
        <v>FQ</v>
      </c>
      <c r="FP799" s="115" t="str">
        <f>SUBSTITUTE(ADDRESS(1,COLUMN(FR2),4),"1","")</f>
        <v>FR</v>
      </c>
      <c r="FY799" s="115" t="str">
        <f>SUBSTITUTE(ADDRESS(1,COLUMN(GH2),4),"1","")</f>
        <v>GH</v>
      </c>
      <c r="FZ799" s="115" t="str">
        <f>SUBSTITUTE(ADDRESS(1,COLUMN(GC2),4),"1","")</f>
        <v>GC</v>
      </c>
      <c r="GB799" s="115" t="str">
        <f>SUBSTITUTE(ADDRESS(1,COLUMN(GD2),4),"1","")</f>
        <v>GD</v>
      </c>
      <c r="GK799" s="115" t="str">
        <f>SUBSTITUTE(ADDRESS(1,COLUMN(GT2),4),"1","")</f>
        <v>GT</v>
      </c>
      <c r="GL799" s="115" t="str">
        <f>SUBSTITUTE(ADDRESS(1,COLUMN(GO2),4),"1","")</f>
        <v>GO</v>
      </c>
      <c r="GN799" s="115" t="str">
        <f>SUBSTITUTE(ADDRESS(1,COLUMN(GP2),4),"1","")</f>
        <v>GP</v>
      </c>
      <c r="GW799" s="115" t="str">
        <f>SUBSTITUTE(ADDRESS(1,COLUMN(HF2),4),"1","")</f>
        <v>HF</v>
      </c>
      <c r="GX799" s="115" t="str">
        <f>SUBSTITUTE(ADDRESS(1,COLUMN(HA2),4),"1","")</f>
        <v>HA</v>
      </c>
      <c r="GZ799" s="115" t="str">
        <f>SUBSTITUTE(ADDRESS(1,COLUMN(HB2),4),"1","")</f>
        <v>HB</v>
      </c>
      <c r="HI799" s="115" t="str">
        <f>SUBSTITUTE(ADDRESS(1,COLUMN(HR2),4),"1","")</f>
        <v>HR</v>
      </c>
      <c r="HJ799" s="115" t="str">
        <f>SUBSTITUTE(ADDRESS(1,COLUMN(HM2),4),"1","")</f>
        <v>HM</v>
      </c>
      <c r="HL799" s="115" t="str">
        <f>SUBSTITUTE(ADDRESS(1,COLUMN(HN2),4),"1","")</f>
        <v>HN</v>
      </c>
      <c r="HU799" s="115" t="str">
        <f>SUBSTITUTE(ADDRESS(1,COLUMN(ID2),4),"1","")</f>
        <v>ID</v>
      </c>
      <c r="HV799" s="115" t="str">
        <f>SUBSTITUTE(ADDRESS(1,COLUMN(HY2),4),"1","")</f>
        <v>HY</v>
      </c>
      <c r="HX799" s="115" t="str">
        <f>SUBSTITUTE(ADDRESS(1,COLUMN(HZ2),4),"1","")</f>
        <v>HZ</v>
      </c>
    </row>
    <row r="800" spans="1:239" hidden="1"/>
    <row r="801" hidden="1"/>
  </sheetData>
  <sheetProtection algorithmName="SHA-512" hashValue="o1Wty5RHdnrywamxHu+fmD7miDQqCCSuTgz0Fvajg5LgFqndTidkmWlm57k0f2BjRL6iLNYITXpUV6/yA5YmUA==" saltValue="VMCwRjzGqaiVdvSoMS7zZg==" spinCount="100000" sheet="1" objects="1" scenarios="1"/>
  <pageMargins left="0.7" right="0.7" top="0.75" bottom="0.75" header="0.3" footer="0.3"/>
  <pageSetup scale="49" fitToWidth="0" orientation="portrait" r:id="rId1"/>
  <colBreaks count="19" manualBreakCount="19">
    <brk id="12" max="1048575" man="1"/>
    <brk id="24" max="61" man="1"/>
    <brk id="36" max="1048575" man="1"/>
    <brk id="48" max="61" man="1"/>
    <brk id="60" max="1048575" man="1"/>
    <brk id="72" max="1048575" man="1"/>
    <brk id="84" max="1048575" man="1"/>
    <brk id="96" max="1048575" man="1"/>
    <brk id="108" max="1048575" man="1"/>
    <brk id="120" max="1048575" man="1"/>
    <brk id="132" max="1048575" man="1"/>
    <brk id="144" max="1048575" man="1"/>
    <brk id="156" max="1048575" man="1"/>
    <brk id="168" max="1048575" man="1"/>
    <brk id="180" max="1048575" man="1"/>
    <brk id="192" max="1048575" man="1"/>
    <brk id="204" max="1048575" man="1"/>
    <brk id="216" max="1048575" man="1"/>
    <brk id="228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22"/>
  <dimension ref="A1:U536"/>
  <sheetViews>
    <sheetView showGridLines="0" zoomScale="115" zoomScaleNormal="115" workbookViewId="0">
      <selection activeCell="A2" sqref="A2"/>
    </sheetView>
  </sheetViews>
  <sheetFormatPr defaultRowHeight="26.25"/>
  <cols>
    <col min="1" max="1" width="25" style="2" customWidth="1"/>
    <col min="2" max="2" width="23.7109375" style="2" bestFit="1" customWidth="1"/>
    <col min="3" max="3" width="5.5703125" style="2" customWidth="1"/>
    <col min="4" max="4" width="4.7109375" style="2" customWidth="1"/>
    <col min="5" max="5" width="3.28515625" style="2" bestFit="1" customWidth="1"/>
    <col min="6" max="6" width="4.7109375" style="2" customWidth="1"/>
    <col min="7" max="7" width="6.5703125" style="2" customWidth="1"/>
    <col min="8" max="8" width="28.28515625" style="2" bestFit="1" customWidth="1"/>
    <col min="9" max="9" width="70.42578125" style="2" bestFit="1" customWidth="1"/>
    <col min="10" max="10" width="18" style="2" customWidth="1"/>
    <col min="11" max="13" width="3.28515625" style="2" customWidth="1"/>
    <col min="14" max="14" width="17.140625" style="105" bestFit="1" customWidth="1"/>
    <col min="15" max="15" width="35.42578125" style="105" customWidth="1"/>
    <col min="16" max="16" width="32" style="105" customWidth="1"/>
    <col min="17" max="17" width="7.28515625" style="105" customWidth="1"/>
    <col min="18" max="18" width="8.5703125" style="105" customWidth="1"/>
    <col min="19" max="19" width="12.7109375" style="105" customWidth="1"/>
    <col min="20" max="20" width="4.140625" style="105" bestFit="1" customWidth="1"/>
    <col min="21" max="21" width="9.140625" style="105"/>
    <col min="22" max="22" width="9.140625" style="2"/>
    <col min="23" max="23" width="35.5703125" style="2" bestFit="1" customWidth="1"/>
    <col min="24" max="24" width="20.5703125" style="2" bestFit="1" customWidth="1"/>
    <col min="25" max="25" width="39.42578125" style="2" bestFit="1" customWidth="1"/>
    <col min="26" max="27" width="9.140625" style="2"/>
    <col min="28" max="28" width="4.140625" style="2" bestFit="1" customWidth="1"/>
    <col min="29" max="30" width="9.140625" style="2"/>
    <col min="31" max="31" width="35.5703125" style="2" bestFit="1" customWidth="1"/>
    <col min="32" max="32" width="20.5703125" style="2" bestFit="1" customWidth="1"/>
    <col min="33" max="33" width="39.140625" style="2" bestFit="1" customWidth="1"/>
    <col min="34" max="35" width="9.140625" style="2"/>
    <col min="36" max="36" width="4.140625" style="2" bestFit="1" customWidth="1"/>
    <col min="37" max="38" width="9.140625" style="2"/>
    <col min="39" max="39" width="35.5703125" style="2" bestFit="1" customWidth="1"/>
    <col min="40" max="40" width="20.5703125" style="2" bestFit="1" customWidth="1"/>
    <col min="41" max="41" width="35.5703125" style="2" bestFit="1" customWidth="1"/>
    <col min="42" max="43" width="9.140625" style="2"/>
    <col min="44" max="44" width="4.140625" style="2" bestFit="1" customWidth="1"/>
    <col min="45" max="46" width="9.140625" style="2"/>
    <col min="47" max="47" width="35.5703125" style="2" bestFit="1" customWidth="1"/>
    <col min="48" max="48" width="22" style="2" bestFit="1" customWidth="1"/>
    <col min="49" max="16384" width="9.140625" style="2"/>
  </cols>
  <sheetData>
    <row r="1" spans="1:21" ht="31.5">
      <c r="A1" s="64">
        <v>506</v>
      </c>
      <c r="B1" s="5"/>
      <c r="C1" s="5"/>
      <c r="D1" s="5"/>
      <c r="E1" s="5"/>
      <c r="F1" s="5"/>
      <c r="G1" s="5"/>
      <c r="H1" s="65" t="s">
        <v>53</v>
      </c>
      <c r="I1" s="5"/>
      <c r="J1" s="5"/>
      <c r="K1" s="5"/>
      <c r="L1" s="5"/>
      <c r="M1" s="5"/>
      <c r="O1" s="323" t="s">
        <v>109</v>
      </c>
      <c r="P1" s="324">
        <v>45862.011805555558</v>
      </c>
      <c r="Q1" s="324"/>
    </row>
    <row r="2" spans="1:21">
      <c r="A2" s="152" t="s">
        <v>559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319"/>
      <c r="O2" s="319"/>
      <c r="P2" s="319"/>
      <c r="Q2" s="319"/>
      <c r="R2" s="319"/>
      <c r="S2" s="319"/>
      <c r="T2" s="319"/>
      <c r="U2" s="319"/>
    </row>
    <row r="3" spans="1:21">
      <c r="A3" s="136">
        <f ca="1">IFERROR(INDIRECT("fixtures!" &amp; Dashboard!J1 &amp;2) - Dashboard!K1/24,"TBC")</f>
        <v>45884.833333333336</v>
      </c>
      <c r="B3" s="66" t="s">
        <v>9</v>
      </c>
      <c r="C3" s="6"/>
      <c r="D3" s="66" t="str">
        <f>IF(ISBLANK(fixtures!$K2),"",fixtures!$K2)</f>
        <v/>
      </c>
      <c r="E3" s="67" t="str">
        <f>IF(ISBLANK(fixtures!$L2),"",":")</f>
        <v/>
      </c>
      <c r="F3" s="68" t="str">
        <f>IF(ISBLANK(fixtures!$L2),"",fixtures!$L2)</f>
        <v/>
      </c>
      <c r="G3" s="6"/>
      <c r="H3" s="68" t="s">
        <v>3</v>
      </c>
      <c r="I3" s="68" t="s">
        <v>40</v>
      </c>
      <c r="J3" s="6"/>
      <c r="K3" s="6"/>
      <c r="L3" s="6"/>
      <c r="M3" s="6"/>
    </row>
    <row r="4" spans="1:21">
      <c r="A4" s="152" t="s">
        <v>560</v>
      </c>
      <c r="B4" s="153"/>
      <c r="C4" s="153"/>
      <c r="D4" s="153"/>
      <c r="E4" s="153"/>
      <c r="F4" s="153"/>
      <c r="G4" s="153"/>
      <c r="H4" s="153"/>
      <c r="I4" s="153"/>
      <c r="J4" s="153"/>
      <c r="K4" s="153"/>
      <c r="L4" s="153"/>
      <c r="M4" s="153"/>
    </row>
    <row r="5" spans="1:21">
      <c r="A5" s="136">
        <f ca="1">IFERROR(INDIRECT("fixtures!" &amp; Dashboard!J1 &amp;3) - Dashboard!K1/24,"TBC")</f>
        <v>45885.520833333336</v>
      </c>
      <c r="B5" s="66" t="s">
        <v>2</v>
      </c>
      <c r="C5" s="6"/>
      <c r="D5" s="66" t="str">
        <f>IF(ISBLANK(fixtures!$K3),"",fixtures!$K3)</f>
        <v/>
      </c>
      <c r="E5" s="67" t="str">
        <f>IF(ISBLANK(fixtures!$L3),"",":")</f>
        <v/>
      </c>
      <c r="F5" s="68" t="str">
        <f>IF(ISBLANK(fixtures!$L3),"",fixtures!$L3)</f>
        <v/>
      </c>
      <c r="G5" s="6"/>
      <c r="H5" s="68" t="s">
        <v>12</v>
      </c>
      <c r="I5" s="68" t="s">
        <v>49</v>
      </c>
      <c r="J5" s="6"/>
      <c r="K5" s="6"/>
      <c r="L5" s="6"/>
      <c r="M5" s="6"/>
    </row>
    <row r="6" spans="1:21">
      <c r="A6" s="136">
        <f ca="1">IFERROR(INDIRECT("fixtures!" &amp; Dashboard!J1 &amp;4) - Dashboard!K1/24,"TBC")</f>
        <v>45885.625</v>
      </c>
      <c r="B6" s="66" t="s">
        <v>4</v>
      </c>
      <c r="C6" s="6"/>
      <c r="D6" s="66" t="str">
        <f>IF(ISBLANK(fixtures!$K4),"",fixtures!$K4)</f>
        <v/>
      </c>
      <c r="E6" s="67" t="str">
        <f>IF(ISBLANK(fixtures!$L4),"",":")</f>
        <v/>
      </c>
      <c r="F6" s="68" t="str">
        <f>IF(ISBLANK(fixtures!$L4),"",fixtures!$L4)</f>
        <v/>
      </c>
      <c r="G6" s="6"/>
      <c r="H6" s="68" t="s">
        <v>108</v>
      </c>
      <c r="I6" s="68" t="s">
        <v>217</v>
      </c>
      <c r="J6" s="6"/>
      <c r="K6" s="6"/>
      <c r="L6" s="6"/>
      <c r="M6" s="6"/>
    </row>
    <row r="7" spans="1:21">
      <c r="A7" s="136">
        <f ca="1">IFERROR(INDIRECT("fixtures!" &amp; Dashboard!J1 &amp;5) - Dashboard!K1/24,"TBC")</f>
        <v>45885.625</v>
      </c>
      <c r="B7" s="66" t="s">
        <v>13</v>
      </c>
      <c r="C7" s="6"/>
      <c r="D7" s="66" t="str">
        <f>IF(ISBLANK(fixtures!$K5),"",fixtures!$K5)</f>
        <v/>
      </c>
      <c r="E7" s="67" t="str">
        <f>IF(ISBLANK(fixtures!$L5),"",":")</f>
        <v/>
      </c>
      <c r="F7" s="68" t="str">
        <f>IF(ISBLANK(fixtures!$L5),"",fixtures!$L5)</f>
        <v/>
      </c>
      <c r="G7" s="6"/>
      <c r="H7" s="68" t="s">
        <v>5</v>
      </c>
      <c r="I7" s="68" t="s">
        <v>45</v>
      </c>
      <c r="J7" s="6"/>
      <c r="K7" s="6"/>
      <c r="L7" s="6"/>
      <c r="M7" s="6"/>
    </row>
    <row r="8" spans="1:21">
      <c r="A8" s="136">
        <f ca="1">IFERROR(INDIRECT("fixtures!" &amp; Dashboard!J1 &amp;6) - Dashboard!K1/24,"TBC")</f>
        <v>45885.625</v>
      </c>
      <c r="B8" s="66" t="s">
        <v>443</v>
      </c>
      <c r="C8" s="6"/>
      <c r="D8" s="66" t="str">
        <f>IF(ISBLANK(fixtures!$K6),"",fixtures!$K6)</f>
        <v/>
      </c>
      <c r="E8" s="67" t="str">
        <f>IF(ISBLANK(fixtures!$L6),"",":")</f>
        <v/>
      </c>
      <c r="F8" s="68" t="str">
        <f>IF(ISBLANK(fixtures!$L6),"",fixtures!$L6)</f>
        <v/>
      </c>
      <c r="G8" s="6"/>
      <c r="H8" s="68" t="s">
        <v>14</v>
      </c>
      <c r="I8" s="68" t="s">
        <v>448</v>
      </c>
      <c r="J8" s="6"/>
      <c r="K8" s="6"/>
      <c r="L8" s="6"/>
      <c r="M8" s="6"/>
    </row>
    <row r="9" spans="1:21">
      <c r="A9" s="136">
        <f ca="1">IFERROR(INDIRECT("fixtures!" &amp; Dashboard!J1 &amp;7) - Dashboard!K1/24,"TBC")</f>
        <v>45885.729166666664</v>
      </c>
      <c r="B9" s="66" t="s">
        <v>15</v>
      </c>
      <c r="C9" s="6"/>
      <c r="D9" s="66" t="str">
        <f>IF(ISBLANK(fixtures!$K7),"",fixtures!$K7)</f>
        <v/>
      </c>
      <c r="E9" s="67" t="str">
        <f>IF(ISBLANK(fixtures!$L7),"",":")</f>
        <v/>
      </c>
      <c r="F9" s="68" t="str">
        <f>IF(ISBLANK(fixtures!$L7),"",fixtures!$L7)</f>
        <v/>
      </c>
      <c r="G9" s="6"/>
      <c r="H9" s="68" t="s">
        <v>10</v>
      </c>
      <c r="I9" s="68" t="s">
        <v>52</v>
      </c>
      <c r="J9" s="6"/>
      <c r="K9" s="6"/>
      <c r="L9" s="6"/>
      <c r="M9" s="6"/>
    </row>
    <row r="10" spans="1:21">
      <c r="A10" s="152" t="s">
        <v>561</v>
      </c>
      <c r="B10" s="153"/>
      <c r="C10" s="153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O10" s="339"/>
    </row>
    <row r="11" spans="1:21">
      <c r="A11" s="136">
        <f ca="1">IFERROR(INDIRECT("fixtures!" &amp; Dashboard!J1 &amp;8) - Dashboard!K1/24,"TBC")</f>
        <v>45886.583333333336</v>
      </c>
      <c r="B11" s="66" t="s">
        <v>6</v>
      </c>
      <c r="C11" s="6"/>
      <c r="D11" s="66" t="str">
        <f>IF(ISBLANK(fixtures!$K8),"",fixtures!$K8)</f>
        <v/>
      </c>
      <c r="E11" s="67" t="str">
        <f>IF(ISBLANK(fixtures!$L8),"",":")</f>
        <v/>
      </c>
      <c r="F11" s="68" t="str">
        <f>IF(ISBLANK(fixtures!$L8),"",fixtures!$L8)</f>
        <v/>
      </c>
      <c r="G11" s="6"/>
      <c r="H11" s="68" t="s">
        <v>7</v>
      </c>
      <c r="I11" s="68" t="s">
        <v>51</v>
      </c>
      <c r="J11" s="6"/>
      <c r="K11" s="6"/>
      <c r="L11" s="6"/>
      <c r="M11" s="6"/>
    </row>
    <row r="12" spans="1:21">
      <c r="A12" s="136">
        <f ca="1">IFERROR(INDIRECT("fixtures!" &amp; Dashboard!J1 &amp;9) - Dashboard!K1/24,"TBC")</f>
        <v>45886.583333333336</v>
      </c>
      <c r="B12" s="66" t="s">
        <v>188</v>
      </c>
      <c r="C12" s="6"/>
      <c r="D12" s="66" t="str">
        <f>IF(ISBLANK(fixtures!$K9),"",fixtures!$K9)</f>
        <v/>
      </c>
      <c r="E12" s="67" t="str">
        <f>IF(ISBLANK(fixtures!$L9),"",":")</f>
        <v/>
      </c>
      <c r="F12" s="68" t="str">
        <f>IF(ISBLANK(fixtures!$L9),"",fixtures!$L9)</f>
        <v/>
      </c>
      <c r="G12" s="6"/>
      <c r="H12" s="68" t="s">
        <v>107</v>
      </c>
      <c r="I12" s="68" t="s">
        <v>158</v>
      </c>
      <c r="J12" s="6"/>
      <c r="K12" s="6"/>
      <c r="L12" s="6"/>
      <c r="M12" s="6"/>
    </row>
    <row r="13" spans="1:21">
      <c r="A13" s="136">
        <f ca="1">IFERROR(INDIRECT("fixtures!" &amp; Dashboard!J1 &amp;10) - Dashboard!K1/24,"TBC")</f>
        <v>45886.6875</v>
      </c>
      <c r="B13" s="66" t="s">
        <v>11</v>
      </c>
      <c r="C13" s="6"/>
      <c r="D13" s="66" t="str">
        <f>IF(ISBLANK(fixtures!$K10),"",fixtures!$K10)</f>
        <v/>
      </c>
      <c r="E13" s="67" t="str">
        <f>IF(ISBLANK(fixtures!$L10),"",":")</f>
        <v/>
      </c>
      <c r="F13" s="68" t="str">
        <f>IF(ISBLANK(fixtures!$L10),"",fixtures!$L10)</f>
        <v/>
      </c>
      <c r="G13" s="6"/>
      <c r="H13" s="68" t="s">
        <v>1</v>
      </c>
      <c r="I13" s="68" t="s">
        <v>47</v>
      </c>
      <c r="J13" s="6"/>
      <c r="K13" s="6"/>
      <c r="L13" s="6"/>
      <c r="M13" s="6"/>
    </row>
    <row r="14" spans="1:21">
      <c r="A14" s="152" t="s">
        <v>562</v>
      </c>
      <c r="B14" s="153"/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</row>
    <row r="15" spans="1:21" ht="26.25" customHeight="1">
      <c r="A15" s="136">
        <f ca="1">IFERROR(INDIRECT("fixtures!" &amp; Dashboard!J1 &amp;11) - Dashboard!K1/24,"TBC")</f>
        <v>45887.833333333336</v>
      </c>
      <c r="B15" s="66" t="s">
        <v>444</v>
      </c>
      <c r="C15" s="6"/>
      <c r="D15" s="66" t="str">
        <f>IF(ISBLANK(fixtures!$K11),"",fixtures!$K11)</f>
        <v/>
      </c>
      <c r="E15" s="67" t="str">
        <f>IF(ISBLANK(fixtures!$L11),"",":")</f>
        <v/>
      </c>
      <c r="F15" s="68" t="str">
        <f>IF(ISBLANK(fixtures!$L11),"",fixtures!$L11)</f>
        <v/>
      </c>
      <c r="G15" s="6"/>
      <c r="H15" s="68" t="s">
        <v>8</v>
      </c>
      <c r="I15" s="68" t="s">
        <v>449</v>
      </c>
      <c r="J15" s="6"/>
      <c r="K15" s="6"/>
      <c r="L15" s="6"/>
      <c r="M15" s="6"/>
    </row>
    <row r="16" spans="1:21">
      <c r="A16" s="69" t="str">
        <f>Dashboard!D1 &amp; " Time"</f>
        <v>London Time</v>
      </c>
      <c r="B16" s="6"/>
      <c r="C16" s="6"/>
      <c r="D16" s="6"/>
      <c r="E16" s="6"/>
      <c r="F16" s="6"/>
      <c r="G16" s="6"/>
      <c r="H16" s="6"/>
      <c r="I16" s="292" t="s">
        <v>442</v>
      </c>
      <c r="J16" s="6"/>
      <c r="K16" s="6"/>
      <c r="L16" s="6"/>
      <c r="M16" s="6"/>
      <c r="N16" s="319"/>
      <c r="O16" s="319"/>
      <c r="P16" s="319"/>
      <c r="Q16" s="319"/>
      <c r="R16" s="319"/>
      <c r="S16" s="319"/>
      <c r="T16" s="319"/>
      <c r="U16" s="319"/>
    </row>
    <row r="17" spans="1:21" ht="31.5">
      <c r="A17" s="8"/>
      <c r="B17" s="8"/>
      <c r="C17" s="8"/>
      <c r="D17" s="8"/>
      <c r="E17" s="8"/>
      <c r="F17" s="8"/>
      <c r="G17" s="8"/>
      <c r="H17" s="70" t="s">
        <v>54</v>
      </c>
      <c r="I17" s="8"/>
      <c r="J17" s="8"/>
      <c r="K17" s="8"/>
      <c r="L17" s="8"/>
      <c r="M17" s="8"/>
    </row>
    <row r="18" spans="1:21">
      <c r="A18" s="154" t="s">
        <v>608</v>
      </c>
      <c r="B18" s="155"/>
      <c r="C18" s="155"/>
      <c r="D18" s="155"/>
      <c r="E18" s="155"/>
      <c r="F18" s="155"/>
      <c r="G18" s="155"/>
      <c r="H18" s="155"/>
      <c r="I18" s="155"/>
      <c r="J18" s="155"/>
      <c r="K18" s="155"/>
      <c r="L18" s="155"/>
      <c r="M18" s="155"/>
      <c r="N18" s="319"/>
      <c r="O18" s="319"/>
      <c r="P18" s="319"/>
      <c r="Q18" s="338"/>
      <c r="R18" s="319"/>
      <c r="S18" s="319"/>
      <c r="T18" s="319"/>
      <c r="U18" s="319"/>
    </row>
    <row r="19" spans="1:21">
      <c r="A19" s="137">
        <f ca="1">IFERROR(INDIRECT("fixtures!" &amp; Dashboard!J1 &amp;12) - Dashboard!K1/24,"TBC")</f>
        <v>45891.833333333336</v>
      </c>
      <c r="B19" s="71" t="s">
        <v>14</v>
      </c>
      <c r="C19" s="9"/>
      <c r="D19" s="71" t="str">
        <f>IF(ISBLANK(fixtures!$K12),"",fixtures!$K12)</f>
        <v/>
      </c>
      <c r="E19" s="72" t="str">
        <f>IF(ISBLANK(fixtures!$L12),"",":")</f>
        <v/>
      </c>
      <c r="F19" s="73" t="str">
        <f>IF(ISBLANK(fixtures!$L12),"",fixtures!$L12)</f>
        <v/>
      </c>
      <c r="G19" s="9"/>
      <c r="H19" s="73" t="s">
        <v>6</v>
      </c>
      <c r="I19" s="73" t="s">
        <v>42</v>
      </c>
      <c r="J19" s="9"/>
      <c r="K19" s="9"/>
      <c r="L19" s="9"/>
      <c r="M19" s="9"/>
    </row>
    <row r="20" spans="1:21">
      <c r="A20" s="154" t="s">
        <v>563</v>
      </c>
      <c r="B20" s="155"/>
      <c r="C20" s="155"/>
      <c r="D20" s="155"/>
      <c r="E20" s="155"/>
      <c r="F20" s="155"/>
      <c r="G20" s="155"/>
      <c r="H20" s="155"/>
      <c r="I20" s="155"/>
      <c r="J20" s="155"/>
      <c r="K20" s="155"/>
      <c r="L20" s="155"/>
      <c r="M20" s="155"/>
    </row>
    <row r="21" spans="1:21">
      <c r="A21" s="137">
        <f ca="1">IFERROR(INDIRECT("fixtures!" &amp; Dashboard!J1 &amp;13) - Dashboard!K1/24,"TBC")</f>
        <v>45892.520833333336</v>
      </c>
      <c r="B21" s="71" t="s">
        <v>10</v>
      </c>
      <c r="C21" s="9"/>
      <c r="D21" s="71" t="str">
        <f>IF(ISBLANK(fixtures!$K13),"",fixtures!$K13)</f>
        <v/>
      </c>
      <c r="E21" s="72" t="str">
        <f>IF(ISBLANK(fixtures!$L13),"",":")</f>
        <v/>
      </c>
      <c r="F21" s="73" t="str">
        <f>IF(ISBLANK(fixtures!$L13),"",fixtures!$L13)</f>
        <v/>
      </c>
      <c r="G21" s="9"/>
      <c r="H21" s="73" t="s">
        <v>13</v>
      </c>
      <c r="I21" s="73" t="s">
        <v>50</v>
      </c>
      <c r="J21" s="9"/>
      <c r="K21" s="9"/>
      <c r="L21" s="9"/>
      <c r="M21" s="9"/>
    </row>
    <row r="22" spans="1:21">
      <c r="A22" s="137">
        <f ca="1">IFERROR(INDIRECT("fixtures!" &amp; Dashboard!J1 &amp;14) - Dashboard!K1/24,"TBC")</f>
        <v>45892.625</v>
      </c>
      <c r="B22" s="71" t="s">
        <v>3</v>
      </c>
      <c r="C22" s="9"/>
      <c r="D22" s="71" t="str">
        <f>IF(ISBLANK(fixtures!$K14),"",fixtures!$K14)</f>
        <v/>
      </c>
      <c r="E22" s="72" t="str">
        <f>IF(ISBLANK(fixtures!$L14),"",":")</f>
        <v/>
      </c>
      <c r="F22" s="73" t="str">
        <f>IF(ISBLANK(fixtures!$L14),"",fixtures!$L14)</f>
        <v/>
      </c>
      <c r="G22" s="9"/>
      <c r="H22" s="73" t="s">
        <v>15</v>
      </c>
      <c r="I22" s="73" t="s">
        <v>43</v>
      </c>
      <c r="J22" s="9"/>
      <c r="K22" s="9"/>
      <c r="L22" s="9"/>
      <c r="M22" s="9"/>
    </row>
    <row r="23" spans="1:21">
      <c r="A23" s="137">
        <f ca="1">IFERROR(INDIRECT("fixtures!" &amp; Dashboard!J1 &amp;15) - Dashboard!K1/24,"TBC")</f>
        <v>45892.625</v>
      </c>
      <c r="B23" s="71" t="s">
        <v>107</v>
      </c>
      <c r="C23" s="9"/>
      <c r="D23" s="71" t="str">
        <f>IF(ISBLANK(fixtures!$K15),"",fixtures!$K15)</f>
        <v/>
      </c>
      <c r="E23" s="72" t="str">
        <f>IF(ISBLANK(fixtures!$L15),"",":")</f>
        <v/>
      </c>
      <c r="F23" s="73" t="str">
        <f>IF(ISBLANK(fixtures!$L15),"",fixtures!$L15)</f>
        <v/>
      </c>
      <c r="G23" s="9"/>
      <c r="H23" s="73" t="s">
        <v>2</v>
      </c>
      <c r="I23" s="73" t="s">
        <v>172</v>
      </c>
      <c r="J23" s="9"/>
      <c r="K23" s="9"/>
      <c r="L23" s="9"/>
      <c r="M23" s="9"/>
    </row>
    <row r="24" spans="1:21">
      <c r="A24" s="137">
        <f ca="1">IFERROR(INDIRECT("fixtures!" &amp; Dashboard!J1 &amp;16) - Dashboard!K1/24,"TBC")</f>
        <v>45892.625</v>
      </c>
      <c r="B24" s="71" t="s">
        <v>5</v>
      </c>
      <c r="C24" s="9"/>
      <c r="D24" s="71" t="str">
        <f>IF(ISBLANK(fixtures!$K16),"",fixtures!$K16)</f>
        <v/>
      </c>
      <c r="E24" s="72" t="str">
        <f>IF(ISBLANK(fixtures!$L16),"",":")</f>
        <v/>
      </c>
      <c r="F24" s="73" t="str">
        <f>IF(ISBLANK(fixtures!$L16),"",fixtures!$L16)</f>
        <v/>
      </c>
      <c r="G24" s="9"/>
      <c r="H24" s="73" t="s">
        <v>443</v>
      </c>
      <c r="I24" s="73" t="s">
        <v>451</v>
      </c>
      <c r="J24" s="9"/>
      <c r="K24" s="9"/>
      <c r="L24" s="9"/>
      <c r="M24" s="9"/>
    </row>
    <row r="25" spans="1:21">
      <c r="A25" s="137">
        <f ca="1">IFERROR(INDIRECT("fixtures!" &amp; Dashboard!J1 &amp;17) - Dashboard!K1/24,"TBC")</f>
        <v>45892.729166666664</v>
      </c>
      <c r="B25" s="71" t="s">
        <v>1</v>
      </c>
      <c r="C25" s="9"/>
      <c r="D25" s="71" t="str">
        <f>IF(ISBLANK(fixtures!$K17),"",fixtures!$K17)</f>
        <v/>
      </c>
      <c r="E25" s="72" t="str">
        <f>IF(ISBLANK(fixtures!$L17),"",":")</f>
        <v/>
      </c>
      <c r="F25" s="73" t="str">
        <f>IF(ISBLANK(fixtures!$L17),"",fixtures!$L17)</f>
        <v/>
      </c>
      <c r="G25" s="9"/>
      <c r="H25" s="73" t="s">
        <v>444</v>
      </c>
      <c r="I25" s="73" t="s">
        <v>48</v>
      </c>
      <c r="J25" s="9"/>
      <c r="K25" s="9"/>
      <c r="L25" s="9"/>
      <c r="M25" s="9"/>
      <c r="N25" s="319"/>
      <c r="O25" s="319"/>
      <c r="P25" s="319"/>
      <c r="Q25" s="319"/>
      <c r="R25" s="319"/>
      <c r="S25" s="319"/>
      <c r="T25" s="319"/>
      <c r="U25" s="319"/>
    </row>
    <row r="26" spans="1:21">
      <c r="A26" s="154" t="s">
        <v>609</v>
      </c>
      <c r="B26" s="155"/>
      <c r="C26" s="155"/>
      <c r="D26" s="155"/>
      <c r="E26" s="155"/>
      <c r="F26" s="155"/>
      <c r="G26" s="155"/>
      <c r="H26" s="155"/>
      <c r="I26" s="155"/>
      <c r="J26" s="155"/>
      <c r="K26" s="155"/>
      <c r="L26" s="155"/>
      <c r="M26" s="155"/>
    </row>
    <row r="27" spans="1:21">
      <c r="A27" s="137">
        <f ca="1">IFERROR(INDIRECT("fixtures!" &amp; Dashboard!J1 &amp;18) - Dashboard!K1/24,"TBC")</f>
        <v>45893.583333333336</v>
      </c>
      <c r="B27" s="71" t="s">
        <v>7</v>
      </c>
      <c r="C27" s="9"/>
      <c r="D27" s="71" t="str">
        <f>IF(ISBLANK(fixtures!$K18),"",fixtures!$K18)</f>
        <v/>
      </c>
      <c r="E27" s="72" t="str">
        <f>IF(ISBLANK(fixtures!$L18),"",":")</f>
        <v/>
      </c>
      <c r="F27" s="73" t="str">
        <f>IF(ISBLANK(fixtures!$L18),"",fixtures!$L18)</f>
        <v/>
      </c>
      <c r="G27" s="9"/>
      <c r="H27" s="73" t="s">
        <v>188</v>
      </c>
      <c r="I27" s="73" t="s">
        <v>44</v>
      </c>
      <c r="J27" s="9"/>
      <c r="K27" s="9"/>
      <c r="L27" s="9"/>
      <c r="M27" s="9"/>
    </row>
    <row r="28" spans="1:21">
      <c r="A28" s="137">
        <f ca="1">IFERROR(INDIRECT("fixtures!" &amp; Dashboard!J1 &amp;19) - Dashboard!K1/24,"TBC")</f>
        <v>45893.583333333336</v>
      </c>
      <c r="B28" s="71" t="s">
        <v>8</v>
      </c>
      <c r="C28" s="9"/>
      <c r="D28" s="71" t="str">
        <f>IF(ISBLANK(fixtures!$K19),"",fixtures!$K19)</f>
        <v/>
      </c>
      <c r="E28" s="72" t="str">
        <f>IF(ISBLANK(fixtures!$L19),"",":")</f>
        <v/>
      </c>
      <c r="F28" s="73" t="str">
        <f>IF(ISBLANK(fixtures!$L19),"",fixtures!$L19)</f>
        <v/>
      </c>
      <c r="G28" s="9"/>
      <c r="H28" s="73" t="s">
        <v>4</v>
      </c>
      <c r="I28" s="73" t="s">
        <v>452</v>
      </c>
      <c r="J28" s="9"/>
      <c r="K28" s="9"/>
      <c r="L28" s="9"/>
      <c r="M28" s="9"/>
    </row>
    <row r="29" spans="1:21">
      <c r="A29" s="137">
        <f ca="1">IFERROR(INDIRECT("fixtures!" &amp; Dashboard!J1 &amp;20) - Dashboard!K1/24,"TBC")</f>
        <v>45893.6875</v>
      </c>
      <c r="B29" s="71" t="s">
        <v>108</v>
      </c>
      <c r="C29" s="9"/>
      <c r="D29" s="71" t="str">
        <f>IF(ISBLANK(fixtures!$K20),"",fixtures!$K20)</f>
        <v/>
      </c>
      <c r="E29" s="72" t="str">
        <f>IF(ISBLANK(fixtures!$L20),"",":")</f>
        <v/>
      </c>
      <c r="F29" s="73" t="str">
        <f>IF(ISBLANK(fixtures!$L20),"",fixtures!$L20)</f>
        <v/>
      </c>
      <c r="G29" s="9"/>
      <c r="H29" s="73" t="s">
        <v>11</v>
      </c>
      <c r="I29" s="73" t="s">
        <v>157</v>
      </c>
      <c r="J29" s="9"/>
      <c r="K29" s="9"/>
      <c r="L29" s="9"/>
      <c r="M29" s="9"/>
    </row>
    <row r="30" spans="1:21">
      <c r="A30" s="154" t="s">
        <v>610</v>
      </c>
      <c r="B30" s="155"/>
      <c r="C30" s="155"/>
      <c r="D30" s="155"/>
      <c r="E30" s="155"/>
      <c r="F30" s="155"/>
      <c r="G30" s="155"/>
      <c r="H30" s="155"/>
      <c r="I30" s="155"/>
      <c r="J30" s="155"/>
      <c r="K30" s="155"/>
      <c r="L30" s="155"/>
      <c r="M30" s="155"/>
    </row>
    <row r="31" spans="1:21">
      <c r="A31" s="137">
        <f ca="1">IFERROR(INDIRECT("fixtures!" &amp; Dashboard!J1 &amp;21) - Dashboard!K1/24,"TBC")</f>
        <v>45894.833333333336</v>
      </c>
      <c r="B31" s="71" t="s">
        <v>12</v>
      </c>
      <c r="C31" s="9"/>
      <c r="D31" s="71" t="str">
        <f>IF(ISBLANK(fixtures!$K21),"",fixtures!$K21)</f>
        <v/>
      </c>
      <c r="E31" s="72" t="str">
        <f>IF(ISBLANK(fixtures!$L21),"",":")</f>
        <v/>
      </c>
      <c r="F31" s="73" t="str">
        <f>IF(ISBLANK(fixtures!$L21),"",fixtures!$L21)</f>
        <v/>
      </c>
      <c r="G31" s="9"/>
      <c r="H31" s="73" t="s">
        <v>9</v>
      </c>
      <c r="I31" s="73" t="s">
        <v>46</v>
      </c>
      <c r="J31" s="9"/>
      <c r="K31" s="9"/>
      <c r="L31" s="9"/>
      <c r="M31" s="9"/>
      <c r="N31" s="319"/>
      <c r="O31" s="319"/>
      <c r="P31" s="319"/>
      <c r="Q31" s="319"/>
      <c r="R31" s="319"/>
      <c r="S31" s="319"/>
      <c r="T31" s="319"/>
      <c r="U31" s="319"/>
    </row>
    <row r="32" spans="1:21">
      <c r="A32" s="74" t="str">
        <f>Dashboard!D1 &amp; " Time"</f>
        <v>London Time</v>
      </c>
      <c r="B32" s="9"/>
      <c r="C32" s="9"/>
      <c r="D32" s="9"/>
      <c r="E32" s="9"/>
      <c r="F32" s="9"/>
      <c r="G32" s="9"/>
      <c r="H32" s="9"/>
      <c r="I32" s="293" t="s">
        <v>442</v>
      </c>
      <c r="J32" s="9"/>
      <c r="K32" s="9"/>
      <c r="L32" s="9"/>
      <c r="M32" s="9"/>
    </row>
    <row r="33" spans="1:21" ht="31.5">
      <c r="A33" s="10"/>
      <c r="B33" s="10"/>
      <c r="C33" s="10"/>
      <c r="D33" s="10"/>
      <c r="E33" s="10"/>
      <c r="F33" s="10"/>
      <c r="G33" s="10"/>
      <c r="H33" s="75" t="s">
        <v>55</v>
      </c>
      <c r="I33" s="10"/>
      <c r="J33" s="10"/>
      <c r="K33" s="10"/>
      <c r="L33" s="10"/>
      <c r="M33" s="10"/>
    </row>
    <row r="34" spans="1:21">
      <c r="A34" s="156" t="s">
        <v>611</v>
      </c>
      <c r="B34" s="157"/>
      <c r="C34" s="157"/>
      <c r="D34" s="157"/>
      <c r="E34" s="157"/>
      <c r="F34" s="157"/>
      <c r="G34" s="157"/>
      <c r="H34" s="157"/>
      <c r="I34" s="157"/>
      <c r="J34" s="157"/>
      <c r="K34" s="157"/>
      <c r="L34" s="157"/>
      <c r="M34" s="157"/>
    </row>
    <row r="35" spans="1:21">
      <c r="A35" s="138">
        <f ca="1">IFERROR(INDIRECT("fixtures!" &amp; Dashboard!J1 &amp;22) - Dashboard!K1/24,"TBC")</f>
        <v>45898.833333333336</v>
      </c>
      <c r="B35" s="76" t="s">
        <v>2</v>
      </c>
      <c r="C35" s="11"/>
      <c r="D35" s="76" t="str">
        <f>IF(ISBLANK(fixtures!$K22),"",fixtures!$K22)</f>
        <v/>
      </c>
      <c r="E35" s="77" t="str">
        <f>IF(ISBLANK(fixtures!$L22),"",":")</f>
        <v/>
      </c>
      <c r="F35" s="78" t="str">
        <f>IF(ISBLANK(fixtures!$L22),"",fixtures!$L22)</f>
        <v/>
      </c>
      <c r="G35" s="11"/>
      <c r="H35" s="78" t="s">
        <v>7</v>
      </c>
      <c r="I35" s="78" t="s">
        <v>49</v>
      </c>
      <c r="J35" s="11"/>
      <c r="K35" s="11"/>
      <c r="L35" s="11"/>
      <c r="M35" s="11"/>
    </row>
    <row r="36" spans="1:21">
      <c r="A36" s="156" t="s">
        <v>564</v>
      </c>
      <c r="B36" s="157"/>
      <c r="C36" s="157"/>
      <c r="D36" s="157"/>
      <c r="E36" s="157"/>
      <c r="F36" s="157"/>
      <c r="G36" s="157"/>
      <c r="H36" s="157"/>
      <c r="I36" s="157"/>
      <c r="J36" s="157"/>
      <c r="K36" s="157"/>
      <c r="L36" s="157"/>
      <c r="M36" s="157"/>
    </row>
    <row r="37" spans="1:21">
      <c r="A37" s="138">
        <f ca="1">IFERROR(INDIRECT("fixtures!" &amp; Dashboard!J1 &amp;23) - Dashboard!K1/24,"TBC")</f>
        <v>45899.520833333336</v>
      </c>
      <c r="B37" s="76" t="s">
        <v>6</v>
      </c>
      <c r="C37" s="11"/>
      <c r="D37" s="76" t="str">
        <f>IF(ISBLANK(fixtures!$K23),"",fixtures!$K23)</f>
        <v/>
      </c>
      <c r="E37" s="77" t="str">
        <f>IF(ISBLANK(fixtures!$L23),"",":")</f>
        <v/>
      </c>
      <c r="F37" s="78" t="str">
        <f>IF(ISBLANK(fixtures!$L23),"",fixtures!$L23)</f>
        <v/>
      </c>
      <c r="G37" s="11"/>
      <c r="H37" s="78" t="s">
        <v>108</v>
      </c>
      <c r="I37" s="78" t="s">
        <v>51</v>
      </c>
      <c r="J37" s="11"/>
      <c r="K37" s="11"/>
      <c r="L37" s="11"/>
      <c r="M37" s="11"/>
    </row>
    <row r="38" spans="1:21">
      <c r="A38" s="138">
        <f ca="1">IFERROR(INDIRECT("fixtures!" &amp; Dashboard!J1 &amp;24) - Dashboard!K1/24,"TBC")</f>
        <v>45899.625</v>
      </c>
      <c r="B38" s="76" t="s">
        <v>11</v>
      </c>
      <c r="C38" s="11"/>
      <c r="D38" s="76" t="str">
        <f>IF(ISBLANK(fixtures!$K24),"",fixtures!$K24)</f>
        <v/>
      </c>
      <c r="E38" s="77" t="str">
        <f>IF(ISBLANK(fixtures!$L24),"",":")</f>
        <v/>
      </c>
      <c r="F38" s="78" t="str">
        <f>IF(ISBLANK(fixtures!$L24),"",fixtures!$L24)</f>
        <v/>
      </c>
      <c r="G38" s="11"/>
      <c r="H38" s="78" t="s">
        <v>5</v>
      </c>
      <c r="I38" s="78" t="s">
        <v>47</v>
      </c>
      <c r="J38" s="11"/>
      <c r="K38" s="11"/>
      <c r="L38" s="11"/>
      <c r="M38" s="11"/>
    </row>
    <row r="39" spans="1:21">
      <c r="A39" s="138">
        <f ca="1">IFERROR(INDIRECT("fixtures!" &amp; Dashboard!J1 &amp;25) - Dashboard!K1/24,"TBC")</f>
        <v>45899.625</v>
      </c>
      <c r="B39" s="76" t="s">
        <v>13</v>
      </c>
      <c r="C39" s="11"/>
      <c r="D39" s="76" t="str">
        <f>IF(ISBLANK(fixtures!$K25),"",fixtures!$K25)</f>
        <v/>
      </c>
      <c r="E39" s="77" t="str">
        <f>IF(ISBLANK(fixtures!$L25),"",":")</f>
        <v/>
      </c>
      <c r="F39" s="78" t="str">
        <f>IF(ISBLANK(fixtures!$L25),"",fixtures!$L25)</f>
        <v/>
      </c>
      <c r="G39" s="11"/>
      <c r="H39" s="78" t="s">
        <v>3</v>
      </c>
      <c r="I39" s="78" t="s">
        <v>45</v>
      </c>
      <c r="J39" s="11"/>
      <c r="K39" s="11"/>
      <c r="L39" s="11"/>
      <c r="M39" s="11"/>
      <c r="N39" s="319"/>
      <c r="O39" s="319"/>
      <c r="P39" s="319"/>
      <c r="Q39" s="319"/>
      <c r="R39" s="319"/>
      <c r="S39" s="319"/>
      <c r="T39" s="319"/>
      <c r="U39" s="319"/>
    </row>
    <row r="40" spans="1:21">
      <c r="A40" s="138">
        <f ca="1">IFERROR(INDIRECT("fixtures!" &amp; Dashboard!J1 &amp;26) - Dashboard!K1/24,"TBC")</f>
        <v>45899.625</v>
      </c>
      <c r="B40" s="76" t="s">
        <v>443</v>
      </c>
      <c r="C40" s="11"/>
      <c r="D40" s="76" t="str">
        <f>IF(ISBLANK(fixtures!$K26),"",fixtures!$K26)</f>
        <v/>
      </c>
      <c r="E40" s="77" t="str">
        <f>IF(ISBLANK(fixtures!$L26),"",":")</f>
        <v/>
      </c>
      <c r="F40" s="78" t="str">
        <f>IF(ISBLANK(fixtures!$L26),"",fixtures!$L26)</f>
        <v/>
      </c>
      <c r="G40" s="11"/>
      <c r="H40" s="78" t="s">
        <v>107</v>
      </c>
      <c r="I40" s="78" t="s">
        <v>448</v>
      </c>
      <c r="J40" s="11"/>
      <c r="K40" s="11"/>
      <c r="L40" s="11"/>
      <c r="M40" s="11"/>
    </row>
    <row r="41" spans="1:21">
      <c r="A41" s="138">
        <f ca="1">IFERROR(INDIRECT("fixtures!" &amp; Dashboard!J1 &amp;27) - Dashboard!K1/24,"TBC")</f>
        <v>45899.625</v>
      </c>
      <c r="B41" s="76" t="s">
        <v>15</v>
      </c>
      <c r="C41" s="11"/>
      <c r="D41" s="76" t="str">
        <f>IF(ISBLANK(fixtures!$K27),"",fixtures!$K27)</f>
        <v/>
      </c>
      <c r="E41" s="77" t="str">
        <f>IF(ISBLANK(fixtures!$L27),"",":")</f>
        <v/>
      </c>
      <c r="F41" s="78" t="str">
        <f>IF(ISBLANK(fixtures!$L27),"",fixtures!$L27)</f>
        <v/>
      </c>
      <c r="G41" s="11"/>
      <c r="H41" s="78" t="s">
        <v>8</v>
      </c>
      <c r="I41" s="78" t="s">
        <v>52</v>
      </c>
      <c r="J41" s="11"/>
      <c r="K41" s="11"/>
      <c r="L41" s="11"/>
      <c r="M41" s="11"/>
    </row>
    <row r="42" spans="1:21">
      <c r="A42" s="138">
        <f ca="1">IFERROR(INDIRECT("fixtures!" &amp; Dashboard!J1 &amp;28) - Dashboard!K1/24,"TBC")</f>
        <v>45899.729166666664</v>
      </c>
      <c r="B42" s="76" t="s">
        <v>444</v>
      </c>
      <c r="C42" s="11"/>
      <c r="D42" s="76" t="str">
        <f>IF(ISBLANK(fixtures!$K28),"",fixtures!$K28)</f>
        <v/>
      </c>
      <c r="E42" s="77" t="str">
        <f>IF(ISBLANK(fixtures!$L28),"",":")</f>
        <v/>
      </c>
      <c r="F42" s="78" t="str">
        <f>IF(ISBLANK(fixtures!$L28),"",fixtures!$L28)</f>
        <v/>
      </c>
      <c r="G42" s="11"/>
      <c r="H42" s="78" t="s">
        <v>12</v>
      </c>
      <c r="I42" s="78" t="s">
        <v>449</v>
      </c>
      <c r="J42" s="11"/>
      <c r="K42" s="11"/>
      <c r="L42" s="11"/>
      <c r="M42" s="11"/>
      <c r="N42" s="319"/>
      <c r="O42" s="319"/>
      <c r="P42" s="319"/>
      <c r="Q42" s="319"/>
      <c r="R42" s="319"/>
      <c r="S42" s="319"/>
      <c r="T42" s="319"/>
      <c r="U42" s="319"/>
    </row>
    <row r="43" spans="1:21">
      <c r="A43" s="156" t="s">
        <v>612</v>
      </c>
      <c r="B43" s="157"/>
      <c r="C43" s="157"/>
      <c r="D43" s="157"/>
      <c r="E43" s="157"/>
      <c r="F43" s="157"/>
      <c r="G43" s="157"/>
      <c r="H43" s="157"/>
      <c r="I43" s="157"/>
      <c r="J43" s="157"/>
      <c r="K43" s="157"/>
      <c r="L43" s="157"/>
      <c r="M43" s="157"/>
    </row>
    <row r="44" spans="1:21">
      <c r="A44" s="138">
        <f ca="1">IFERROR(INDIRECT("fixtures!" &amp; Dashboard!J1 &amp;29) - Dashboard!K1/24,"TBC")</f>
        <v>45900.583333333336</v>
      </c>
      <c r="B44" s="76" t="s">
        <v>4</v>
      </c>
      <c r="C44" s="11"/>
      <c r="D44" s="76" t="str">
        <f>IF(ISBLANK(fixtures!$K29),"",fixtures!$K29)</f>
        <v/>
      </c>
      <c r="E44" s="77" t="str">
        <f>IF(ISBLANK(fixtures!$L29),"",":")</f>
        <v/>
      </c>
      <c r="F44" s="78" t="str">
        <f>IF(ISBLANK(fixtures!$L29),"",fixtures!$L29)</f>
        <v/>
      </c>
      <c r="G44" s="11"/>
      <c r="H44" s="78" t="s">
        <v>10</v>
      </c>
      <c r="I44" s="78" t="s">
        <v>217</v>
      </c>
      <c r="J44" s="11"/>
      <c r="K44" s="11"/>
      <c r="L44" s="11"/>
      <c r="M44" s="11"/>
    </row>
    <row r="45" spans="1:21">
      <c r="A45" s="138">
        <f ca="1">IFERROR(INDIRECT("fixtures!" &amp; Dashboard!J1 &amp;30) - Dashboard!K1/24,"TBC")</f>
        <v>45900.583333333336</v>
      </c>
      <c r="B45" s="76" t="s">
        <v>188</v>
      </c>
      <c r="C45" s="11"/>
      <c r="D45" s="76" t="str">
        <f>IF(ISBLANK(fixtures!$K30),"",fixtures!$K30)</f>
        <v/>
      </c>
      <c r="E45" s="77" t="str">
        <f>IF(ISBLANK(fixtures!$L30),"",":")</f>
        <v/>
      </c>
      <c r="F45" s="78" t="str">
        <f>IF(ISBLANK(fixtures!$L30),"",fixtures!$L30)</f>
        <v/>
      </c>
      <c r="G45" s="11"/>
      <c r="H45" s="78" t="s">
        <v>14</v>
      </c>
      <c r="I45" s="78" t="s">
        <v>158</v>
      </c>
      <c r="J45" s="11"/>
      <c r="K45" s="11"/>
      <c r="L45" s="11"/>
      <c r="M45" s="11"/>
    </row>
    <row r="46" spans="1:21">
      <c r="A46" s="138">
        <f ca="1">IFERROR(INDIRECT("fixtures!" &amp; Dashboard!J1 &amp;31) - Dashboard!K1/24,"TBC")</f>
        <v>45900.6875</v>
      </c>
      <c r="B46" s="76" t="s">
        <v>9</v>
      </c>
      <c r="C46" s="11"/>
      <c r="D46" s="76" t="str">
        <f>IF(ISBLANK(fixtures!$K31),"",fixtures!$K31)</f>
        <v/>
      </c>
      <c r="E46" s="77" t="str">
        <f>IF(ISBLANK(fixtures!$L31),"",":")</f>
        <v/>
      </c>
      <c r="F46" s="78" t="str">
        <f>IF(ISBLANK(fixtures!$L31),"",fixtures!$L31)</f>
        <v/>
      </c>
      <c r="G46" s="11"/>
      <c r="H46" s="78" t="s">
        <v>1</v>
      </c>
      <c r="I46" s="78" t="s">
        <v>40</v>
      </c>
      <c r="J46" s="11"/>
      <c r="K46" s="11"/>
      <c r="L46" s="11"/>
      <c r="M46" s="11"/>
      <c r="N46" s="319"/>
      <c r="O46" s="319"/>
      <c r="P46" s="319"/>
      <c r="Q46" s="319"/>
      <c r="R46" s="319"/>
      <c r="S46" s="319"/>
      <c r="T46" s="319"/>
      <c r="U46" s="319"/>
    </row>
    <row r="47" spans="1:21">
      <c r="A47" s="79" t="str">
        <f>Dashboard!D1 &amp; " Time"</f>
        <v>London Time</v>
      </c>
      <c r="B47" s="11"/>
      <c r="C47" s="11"/>
      <c r="D47" s="11"/>
      <c r="E47" s="11"/>
      <c r="F47" s="11"/>
      <c r="G47" s="11"/>
      <c r="H47" s="11"/>
      <c r="I47" s="294" t="s">
        <v>442</v>
      </c>
      <c r="J47" s="11"/>
      <c r="K47" s="11"/>
      <c r="L47" s="11"/>
      <c r="M47" s="11"/>
    </row>
    <row r="48" spans="1:21" ht="31.5">
      <c r="A48" s="26"/>
      <c r="B48" s="26"/>
      <c r="C48" s="26"/>
      <c r="D48" s="26"/>
      <c r="E48" s="26"/>
      <c r="F48" s="26"/>
      <c r="G48" s="26"/>
      <c r="H48" s="357" t="s">
        <v>56</v>
      </c>
      <c r="I48" s="26"/>
      <c r="J48" s="26"/>
      <c r="K48" s="26"/>
      <c r="L48" s="26"/>
      <c r="M48" s="26"/>
    </row>
    <row r="49" spans="1:21">
      <c r="A49" s="358" t="s">
        <v>565</v>
      </c>
      <c r="B49" s="359"/>
      <c r="C49" s="359"/>
      <c r="D49" s="359"/>
      <c r="E49" s="359"/>
      <c r="F49" s="359"/>
      <c r="G49" s="359"/>
      <c r="H49" s="359"/>
      <c r="I49" s="359"/>
      <c r="J49" s="359"/>
      <c r="K49" s="359"/>
      <c r="L49" s="359"/>
      <c r="M49" s="359"/>
    </row>
    <row r="50" spans="1:21">
      <c r="A50" s="360">
        <f ca="1">IFERROR(INDIRECT("fixtures!" &amp; Dashboard!J1 &amp;32) - Dashboard!K1/24,"TBC")</f>
        <v>45913.520833333336</v>
      </c>
      <c r="B50" s="89" t="s">
        <v>1</v>
      </c>
      <c r="C50" s="27"/>
      <c r="D50" s="89" t="str">
        <f>IF(ISBLANK(fixtures!$K32),"",fixtures!$K32)</f>
        <v/>
      </c>
      <c r="E50" s="361" t="str">
        <f>IF(ISBLANK(fixtures!$L32),"",":")</f>
        <v/>
      </c>
      <c r="F50" s="90" t="str">
        <f>IF(ISBLANK(fixtures!$L32),"",fixtures!$L32)</f>
        <v/>
      </c>
      <c r="G50" s="27"/>
      <c r="H50" s="90" t="s">
        <v>188</v>
      </c>
      <c r="I50" s="90" t="s">
        <v>48</v>
      </c>
      <c r="J50" s="27"/>
      <c r="K50" s="27"/>
      <c r="L50" s="27"/>
      <c r="M50" s="27"/>
    </row>
    <row r="51" spans="1:21">
      <c r="A51" s="360">
        <f ca="1">IFERROR(INDIRECT("fixtures!" &amp; Dashboard!J1 &amp;33) - Dashboard!K1/24,"TBC")</f>
        <v>45913.625</v>
      </c>
      <c r="B51" s="89" t="s">
        <v>3</v>
      </c>
      <c r="C51" s="27"/>
      <c r="D51" s="89" t="str">
        <f>IF(ISBLANK(fixtures!$K33),"",fixtures!$K33)</f>
        <v/>
      </c>
      <c r="E51" s="361" t="str">
        <f>IF(ISBLANK(fixtures!$L33),"",":")</f>
        <v/>
      </c>
      <c r="F51" s="90" t="str">
        <f>IF(ISBLANK(fixtures!$L33),"",fixtures!$L33)</f>
        <v/>
      </c>
      <c r="G51" s="27"/>
      <c r="H51" s="90" t="s">
        <v>4</v>
      </c>
      <c r="I51" s="90" t="s">
        <v>43</v>
      </c>
      <c r="J51" s="27"/>
      <c r="K51" s="27"/>
      <c r="L51" s="27"/>
      <c r="M51" s="27"/>
    </row>
    <row r="52" spans="1:21">
      <c r="A52" s="360">
        <f ca="1">IFERROR(INDIRECT("fixtures!" &amp; Dashboard!J1 &amp;34) - Dashboard!K1/24,"TBC")</f>
        <v>45913.625</v>
      </c>
      <c r="B52" s="89" t="s">
        <v>7</v>
      </c>
      <c r="C52" s="27"/>
      <c r="D52" s="89" t="str">
        <f>IF(ISBLANK(fixtures!$K34),"",fixtures!$K34)</f>
        <v/>
      </c>
      <c r="E52" s="361" t="str">
        <f>IF(ISBLANK(fixtures!$L34),"",":")</f>
        <v/>
      </c>
      <c r="F52" s="90" t="str">
        <f>IF(ISBLANK(fixtures!$L34),"",fixtures!$L34)</f>
        <v/>
      </c>
      <c r="G52" s="27"/>
      <c r="H52" s="90" t="s">
        <v>443</v>
      </c>
      <c r="I52" s="90" t="s">
        <v>44</v>
      </c>
      <c r="J52" s="27"/>
      <c r="K52" s="27"/>
      <c r="L52" s="27"/>
      <c r="M52" s="27"/>
    </row>
    <row r="53" spans="1:21">
      <c r="A53" s="360">
        <f ca="1">IFERROR(INDIRECT("fixtures!" &amp; Dashboard!J1 &amp;35) - Dashboard!K1/24,"TBC")</f>
        <v>45913.625</v>
      </c>
      <c r="B53" s="89" t="s">
        <v>8</v>
      </c>
      <c r="C53" s="27"/>
      <c r="D53" s="89" t="str">
        <f>IF(ISBLANK(fixtures!$K35),"",fixtures!$K35)</f>
        <v/>
      </c>
      <c r="E53" s="361" t="str">
        <f>IF(ISBLANK(fixtures!$L35),"",":")</f>
        <v/>
      </c>
      <c r="F53" s="90" t="str">
        <f>IF(ISBLANK(fixtures!$L35),"",fixtures!$L35)</f>
        <v/>
      </c>
      <c r="G53" s="27"/>
      <c r="H53" s="90" t="s">
        <v>2</v>
      </c>
      <c r="I53" s="90" t="s">
        <v>452</v>
      </c>
      <c r="J53" s="27"/>
      <c r="K53" s="27"/>
      <c r="L53" s="27"/>
      <c r="M53" s="27"/>
      <c r="N53" s="319"/>
      <c r="O53" s="319"/>
      <c r="P53" s="319"/>
      <c r="Q53" s="319"/>
      <c r="R53" s="319"/>
      <c r="S53" s="319"/>
      <c r="T53" s="319"/>
      <c r="U53" s="319"/>
    </row>
    <row r="54" spans="1:21">
      <c r="A54" s="360">
        <f ca="1">IFERROR(INDIRECT("fixtures!" &amp; Dashboard!J1 &amp;36) - Dashboard!K1/24,"TBC")</f>
        <v>45913.625</v>
      </c>
      <c r="B54" s="89" t="s">
        <v>108</v>
      </c>
      <c r="C54" s="27"/>
      <c r="D54" s="89" t="str">
        <f>IF(ISBLANK(fixtures!$K36),"",fixtures!$K36)</f>
        <v/>
      </c>
      <c r="E54" s="361" t="str">
        <f>IF(ISBLANK(fixtures!$L36),"",":")</f>
        <v/>
      </c>
      <c r="F54" s="90" t="str">
        <f>IF(ISBLANK(fixtures!$L36),"",fixtures!$L36)</f>
        <v/>
      </c>
      <c r="G54" s="27"/>
      <c r="H54" s="90" t="s">
        <v>444</v>
      </c>
      <c r="I54" s="90" t="s">
        <v>157</v>
      </c>
      <c r="J54" s="27"/>
      <c r="K54" s="27"/>
      <c r="L54" s="27"/>
      <c r="M54" s="27"/>
    </row>
    <row r="55" spans="1:21">
      <c r="A55" s="360">
        <f ca="1">IFERROR(INDIRECT("fixtures!" &amp; Dashboard!J1 &amp;37) - Dashboard!K1/24,"TBC")</f>
        <v>45913.625</v>
      </c>
      <c r="B55" s="89" t="s">
        <v>12</v>
      </c>
      <c r="C55" s="27"/>
      <c r="D55" s="89" t="str">
        <f>IF(ISBLANK(fixtures!$K37),"",fixtures!$K37)</f>
        <v/>
      </c>
      <c r="E55" s="361" t="str">
        <f>IF(ISBLANK(fixtures!$L37),"",":")</f>
        <v/>
      </c>
      <c r="F55" s="90" t="str">
        <f>IF(ISBLANK(fixtures!$L37),"",fixtures!$L37)</f>
        <v/>
      </c>
      <c r="G55" s="27"/>
      <c r="H55" s="90" t="s">
        <v>15</v>
      </c>
      <c r="I55" s="90" t="s">
        <v>46</v>
      </c>
      <c r="J55" s="27"/>
      <c r="K55" s="27"/>
      <c r="L55" s="27"/>
      <c r="M55" s="27"/>
    </row>
    <row r="56" spans="1:21">
      <c r="A56" s="360">
        <f ca="1">IFERROR(INDIRECT("fixtures!" &amp; Dashboard!J1 &amp;38) - Dashboard!K1/24,"TBC")</f>
        <v>45913.729166666664</v>
      </c>
      <c r="B56" s="89" t="s">
        <v>14</v>
      </c>
      <c r="C56" s="27"/>
      <c r="D56" s="89" t="str">
        <f>IF(ISBLANK(fixtures!$K38),"",fixtures!$K38)</f>
        <v/>
      </c>
      <c r="E56" s="361" t="str">
        <f>IF(ISBLANK(fixtures!$L38),"",":")</f>
        <v/>
      </c>
      <c r="F56" s="90" t="str">
        <f>IF(ISBLANK(fixtures!$L38),"",fixtures!$L38)</f>
        <v/>
      </c>
      <c r="G56" s="27"/>
      <c r="H56" s="90" t="s">
        <v>13</v>
      </c>
      <c r="I56" s="90" t="s">
        <v>42</v>
      </c>
      <c r="J56" s="27"/>
      <c r="K56" s="27"/>
      <c r="L56" s="27"/>
      <c r="M56" s="27"/>
    </row>
    <row r="57" spans="1:21">
      <c r="A57" s="360">
        <f ca="1">IFERROR(INDIRECT("fixtures!" &amp; Dashboard!J1 &amp;39) - Dashboard!K1/24,"TBC")</f>
        <v>45913.833333333336</v>
      </c>
      <c r="B57" s="89" t="s">
        <v>107</v>
      </c>
      <c r="C57" s="27"/>
      <c r="D57" s="89" t="str">
        <f>IF(ISBLANK(fixtures!$K39),"",fixtures!$K39)</f>
        <v/>
      </c>
      <c r="E57" s="361" t="str">
        <f>IF(ISBLANK(fixtures!$L39),"",":")</f>
        <v/>
      </c>
      <c r="F57" s="90" t="str">
        <f>IF(ISBLANK(fixtures!$L39),"",fixtures!$L39)</f>
        <v/>
      </c>
      <c r="G57" s="27"/>
      <c r="H57" s="90" t="s">
        <v>6</v>
      </c>
      <c r="I57" s="90" t="s">
        <v>172</v>
      </c>
      <c r="J57" s="27"/>
      <c r="K57" s="27"/>
      <c r="L57" s="27"/>
      <c r="M57" s="27"/>
      <c r="N57" s="319"/>
      <c r="O57" s="319"/>
      <c r="P57" s="319"/>
      <c r="Q57" s="319"/>
      <c r="R57" s="319"/>
      <c r="S57" s="319"/>
      <c r="T57" s="319"/>
      <c r="U57" s="319"/>
    </row>
    <row r="58" spans="1:21">
      <c r="A58" s="358" t="s">
        <v>613</v>
      </c>
      <c r="B58" s="359"/>
      <c r="C58" s="359"/>
      <c r="D58" s="359"/>
      <c r="E58" s="359"/>
      <c r="F58" s="359"/>
      <c r="G58" s="359"/>
      <c r="H58" s="359"/>
      <c r="I58" s="359"/>
      <c r="J58" s="359"/>
      <c r="K58" s="359"/>
      <c r="L58" s="359"/>
      <c r="M58" s="359"/>
    </row>
    <row r="59" spans="1:21">
      <c r="A59" s="360">
        <f ca="1">IFERROR(INDIRECT("fixtures!" &amp; Dashboard!J1 &amp;40) - Dashboard!K1/24,"TBC")</f>
        <v>45914.583333333336</v>
      </c>
      <c r="B59" s="89" t="s">
        <v>5</v>
      </c>
      <c r="C59" s="27"/>
      <c r="D59" s="89" t="str">
        <f>IF(ISBLANK(fixtures!$K40),"",fixtures!$K40)</f>
        <v/>
      </c>
      <c r="E59" s="361" t="str">
        <f>IF(ISBLANK(fixtures!$L40),"",":")</f>
        <v/>
      </c>
      <c r="F59" s="90" t="str">
        <f>IF(ISBLANK(fixtures!$L40),"",fixtures!$L40)</f>
        <v/>
      </c>
      <c r="G59" s="27"/>
      <c r="H59" s="90" t="s">
        <v>9</v>
      </c>
      <c r="I59" s="90" t="s">
        <v>451</v>
      </c>
      <c r="J59" s="27"/>
      <c r="K59" s="27"/>
      <c r="L59" s="27"/>
      <c r="M59" s="27"/>
    </row>
    <row r="60" spans="1:21">
      <c r="A60" s="360">
        <f ca="1">IFERROR(INDIRECT("fixtures!" &amp; Dashboard!J1 &amp;41) - Dashboard!K1/24,"TBC")</f>
        <v>45914.6875</v>
      </c>
      <c r="B60" s="89" t="s">
        <v>10</v>
      </c>
      <c r="C60" s="27"/>
      <c r="D60" s="89" t="str">
        <f>IF(ISBLANK(fixtures!$K41),"",fixtures!$K41)</f>
        <v/>
      </c>
      <c r="E60" s="361" t="str">
        <f>IF(ISBLANK(fixtures!$L41),"",":")</f>
        <v/>
      </c>
      <c r="F60" s="90" t="str">
        <f>IF(ISBLANK(fixtures!$L41),"",fixtures!$L41)</f>
        <v/>
      </c>
      <c r="G60" s="27"/>
      <c r="H60" s="90" t="s">
        <v>11</v>
      </c>
      <c r="I60" s="90" t="s">
        <v>50</v>
      </c>
      <c r="J60" s="27"/>
      <c r="K60" s="27"/>
      <c r="L60" s="27"/>
      <c r="M60" s="27"/>
    </row>
    <row r="61" spans="1:21">
      <c r="A61" s="362" t="str">
        <f>Dashboard!D1 &amp; " Time"</f>
        <v>London Time</v>
      </c>
      <c r="B61" s="27"/>
      <c r="C61" s="27"/>
      <c r="D61" s="27"/>
      <c r="E61" s="27"/>
      <c r="F61" s="27"/>
      <c r="G61" s="27"/>
      <c r="H61" s="27"/>
      <c r="I61" s="363" t="s">
        <v>442</v>
      </c>
      <c r="J61" s="27"/>
      <c r="K61" s="27"/>
      <c r="L61" s="27"/>
      <c r="M61" s="27"/>
      <c r="N61" s="319"/>
      <c r="O61" s="319"/>
      <c r="P61" s="319"/>
      <c r="Q61" s="319"/>
      <c r="R61" s="319"/>
      <c r="S61" s="319"/>
      <c r="T61" s="319"/>
      <c r="U61" s="319"/>
    </row>
    <row r="62" spans="1:21" ht="31.5">
      <c r="A62" s="168"/>
      <c r="B62" s="168"/>
      <c r="C62" s="168"/>
      <c r="D62" s="168"/>
      <c r="E62" s="168"/>
      <c r="F62" s="168"/>
      <c r="G62" s="168"/>
      <c r="H62" s="203" t="s">
        <v>57</v>
      </c>
      <c r="I62" s="168"/>
      <c r="J62" s="168"/>
      <c r="K62" s="168"/>
      <c r="L62" s="168"/>
      <c r="M62" s="168"/>
    </row>
    <row r="63" spans="1:21">
      <c r="A63" s="204" t="s">
        <v>566</v>
      </c>
      <c r="B63" s="205"/>
      <c r="C63" s="205"/>
      <c r="D63" s="205"/>
      <c r="E63" s="205"/>
      <c r="F63" s="205"/>
      <c r="G63" s="205"/>
      <c r="H63" s="205"/>
      <c r="I63" s="205"/>
      <c r="J63" s="205"/>
      <c r="K63" s="205"/>
      <c r="L63" s="205"/>
      <c r="M63" s="205"/>
    </row>
    <row r="64" spans="1:21">
      <c r="A64" s="206">
        <f ca="1">IFERROR(INDIRECT("fixtures!" &amp; Dashboard!J1 &amp;42) - Dashboard!K1/24,"TBC")</f>
        <v>45920.520833333336</v>
      </c>
      <c r="B64" s="207" t="s">
        <v>9</v>
      </c>
      <c r="C64" s="19"/>
      <c r="D64" s="207" t="str">
        <f>IF(ISBLANK(fixtures!$K42),"",fixtures!$K42)</f>
        <v/>
      </c>
      <c r="E64" s="208" t="str">
        <f>IF(ISBLANK(fixtures!$L42),"",":")</f>
        <v/>
      </c>
      <c r="F64" s="209" t="str">
        <f>IF(ISBLANK(fixtures!$L42),"",fixtures!$L42)</f>
        <v/>
      </c>
      <c r="G64" s="19"/>
      <c r="H64" s="209" t="s">
        <v>8</v>
      </c>
      <c r="I64" s="209" t="s">
        <v>40</v>
      </c>
      <c r="J64" s="19"/>
      <c r="K64" s="19"/>
      <c r="L64" s="19"/>
      <c r="M64" s="19"/>
    </row>
    <row r="65" spans="1:21">
      <c r="A65" s="206">
        <f ca="1">IFERROR(INDIRECT("fixtures!" &amp; Dashboard!J1 &amp;43) - Dashboard!K1/24,"TBC")</f>
        <v>45920.625</v>
      </c>
      <c r="B65" s="207" t="s">
        <v>3</v>
      </c>
      <c r="C65" s="19"/>
      <c r="D65" s="207" t="str">
        <f>IF(ISBLANK(fixtures!$K43),"",fixtures!$K43)</f>
        <v/>
      </c>
      <c r="E65" s="208" t="str">
        <f>IF(ISBLANK(fixtures!$L43),"",":")</f>
        <v/>
      </c>
      <c r="F65" s="209" t="str">
        <f>IF(ISBLANK(fixtures!$L43),"",fixtures!$L43)</f>
        <v/>
      </c>
      <c r="G65" s="19"/>
      <c r="H65" s="209" t="s">
        <v>12</v>
      </c>
      <c r="I65" s="209" t="s">
        <v>43</v>
      </c>
      <c r="J65" s="19"/>
      <c r="K65" s="19"/>
      <c r="L65" s="19"/>
      <c r="M65" s="19"/>
    </row>
    <row r="66" spans="1:21">
      <c r="A66" s="206">
        <f ca="1">IFERROR(INDIRECT("fixtures!" &amp; Dashboard!J1 &amp;44) - Dashboard!K1/24,"TBC")</f>
        <v>45920.625</v>
      </c>
      <c r="B66" s="207" t="s">
        <v>4</v>
      </c>
      <c r="C66" s="19"/>
      <c r="D66" s="207" t="str">
        <f>IF(ISBLANK(fixtures!$K44),"",fixtures!$K44)</f>
        <v/>
      </c>
      <c r="E66" s="208" t="str">
        <f>IF(ISBLANK(fixtures!$L44),"",":")</f>
        <v/>
      </c>
      <c r="F66" s="209" t="str">
        <f>IF(ISBLANK(fixtures!$L44),"",fixtures!$L44)</f>
        <v/>
      </c>
      <c r="G66" s="19"/>
      <c r="H66" s="209" t="s">
        <v>13</v>
      </c>
      <c r="I66" s="209" t="s">
        <v>217</v>
      </c>
      <c r="J66" s="19"/>
      <c r="K66" s="19"/>
      <c r="L66" s="19"/>
      <c r="M66" s="19"/>
    </row>
    <row r="67" spans="1:21">
      <c r="A67" s="206">
        <f ca="1">IFERROR(INDIRECT("fixtures!" &amp; Dashboard!J1 &amp;45) - Dashboard!K1/24,"TBC")</f>
        <v>45920.625</v>
      </c>
      <c r="B67" s="207" t="s">
        <v>5</v>
      </c>
      <c r="C67" s="19"/>
      <c r="D67" s="207" t="str">
        <f>IF(ISBLANK(fixtures!$K45),"",fixtures!$K45)</f>
        <v/>
      </c>
      <c r="E67" s="208" t="str">
        <f>IF(ISBLANK(fixtures!$L45),"",":")</f>
        <v/>
      </c>
      <c r="F67" s="209" t="str">
        <f>IF(ISBLANK(fixtures!$L45),"",fixtures!$L45)</f>
        <v/>
      </c>
      <c r="G67" s="19"/>
      <c r="H67" s="209" t="s">
        <v>188</v>
      </c>
      <c r="I67" s="209" t="s">
        <v>451</v>
      </c>
      <c r="J67" s="19"/>
      <c r="K67" s="19"/>
      <c r="L67" s="19"/>
      <c r="M67" s="19"/>
    </row>
    <row r="68" spans="1:21">
      <c r="A68" s="206">
        <f ca="1">IFERROR(INDIRECT("fixtures!" &amp; Dashboard!J1 &amp;46) - Dashboard!K1/24,"TBC")</f>
        <v>45920.625</v>
      </c>
      <c r="B68" s="207" t="s">
        <v>14</v>
      </c>
      <c r="C68" s="19"/>
      <c r="D68" s="207" t="str">
        <f>IF(ISBLANK(fixtures!$K46),"",fixtures!$K46)</f>
        <v/>
      </c>
      <c r="E68" s="208" t="str">
        <f>IF(ISBLANK(fixtures!$L46),"",":")</f>
        <v/>
      </c>
      <c r="F68" s="209" t="str">
        <f>IF(ISBLANK(fixtures!$L46),"",fixtures!$L46)</f>
        <v/>
      </c>
      <c r="G68" s="19"/>
      <c r="H68" s="209" t="s">
        <v>7</v>
      </c>
      <c r="I68" s="209" t="s">
        <v>42</v>
      </c>
      <c r="J68" s="19"/>
      <c r="K68" s="19"/>
      <c r="L68" s="19"/>
      <c r="M68" s="19"/>
    </row>
    <row r="69" spans="1:21">
      <c r="A69" s="206">
        <f ca="1">IFERROR(INDIRECT("fixtures!" &amp; Dashboard!J1 &amp;47) - Dashboard!K1/24,"TBC")</f>
        <v>45920.625</v>
      </c>
      <c r="B69" s="207" t="s">
        <v>15</v>
      </c>
      <c r="C69" s="19"/>
      <c r="D69" s="207" t="str">
        <f>IF(ISBLANK(fixtures!$K47),"",fixtures!$K47)</f>
        <v/>
      </c>
      <c r="E69" s="208" t="str">
        <f>IF(ISBLANK(fixtures!$L47),"",":")</f>
        <v/>
      </c>
      <c r="F69" s="209" t="str">
        <f>IF(ISBLANK(fixtures!$L47),"",fixtures!$L47)</f>
        <v/>
      </c>
      <c r="G69" s="19"/>
      <c r="H69" s="209" t="s">
        <v>444</v>
      </c>
      <c r="I69" s="209" t="s">
        <v>52</v>
      </c>
      <c r="J69" s="19"/>
      <c r="K69" s="19"/>
      <c r="L69" s="19"/>
      <c r="M69" s="19"/>
      <c r="N69" s="319"/>
      <c r="O69" s="319"/>
      <c r="P69" s="319"/>
      <c r="Q69" s="319"/>
      <c r="R69" s="319"/>
      <c r="S69" s="319"/>
      <c r="T69" s="319"/>
      <c r="U69" s="319"/>
    </row>
    <row r="70" spans="1:21">
      <c r="A70" s="206">
        <f ca="1">IFERROR(INDIRECT("fixtures!" &amp; Dashboard!J1 &amp;48) - Dashboard!K1/24,"TBC")</f>
        <v>45920.729166666664</v>
      </c>
      <c r="B70" s="207" t="s">
        <v>11</v>
      </c>
      <c r="C70" s="19"/>
      <c r="D70" s="207" t="str">
        <f>IF(ISBLANK(fixtures!$K48),"",fixtures!$K48)</f>
        <v/>
      </c>
      <c r="E70" s="208" t="str">
        <f>IF(ISBLANK(fixtures!$L48),"",":")</f>
        <v/>
      </c>
      <c r="F70" s="209" t="str">
        <f>IF(ISBLANK(fixtures!$L48),"",fixtures!$L48)</f>
        <v/>
      </c>
      <c r="G70" s="19"/>
      <c r="H70" s="209" t="s">
        <v>6</v>
      </c>
      <c r="I70" s="209" t="s">
        <v>47</v>
      </c>
      <c r="J70" s="19"/>
      <c r="K70" s="19"/>
      <c r="L70" s="19"/>
      <c r="M70" s="19"/>
    </row>
    <row r="71" spans="1:21">
      <c r="A71" s="206">
        <f ca="1">IFERROR(INDIRECT("fixtures!" &amp; Dashboard!J1 &amp;49) - Dashboard!K1/24,"TBC")</f>
        <v>45920.833333333336</v>
      </c>
      <c r="B71" s="207" t="s">
        <v>108</v>
      </c>
      <c r="C71" s="19"/>
      <c r="D71" s="207" t="str">
        <f>IF(ISBLANK(fixtures!$K49),"",fixtures!$K49)</f>
        <v/>
      </c>
      <c r="E71" s="208" t="str">
        <f>IF(ISBLANK(fixtures!$L49),"",":")</f>
        <v/>
      </c>
      <c r="F71" s="209" t="str">
        <f>IF(ISBLANK(fixtures!$L49),"",fixtures!$L49)</f>
        <v/>
      </c>
      <c r="G71" s="19"/>
      <c r="H71" s="209" t="s">
        <v>107</v>
      </c>
      <c r="I71" s="209" t="s">
        <v>157</v>
      </c>
      <c r="J71" s="19"/>
      <c r="K71" s="19"/>
      <c r="L71" s="19"/>
      <c r="M71" s="19"/>
    </row>
    <row r="72" spans="1:21">
      <c r="A72" s="204" t="s">
        <v>614</v>
      </c>
      <c r="B72" s="205"/>
      <c r="C72" s="205"/>
      <c r="D72" s="205"/>
      <c r="E72" s="205"/>
      <c r="F72" s="205"/>
      <c r="G72" s="205"/>
      <c r="H72" s="205"/>
      <c r="I72" s="205"/>
      <c r="J72" s="205"/>
      <c r="K72" s="205"/>
      <c r="L72" s="205"/>
      <c r="M72" s="205"/>
    </row>
    <row r="73" spans="1:21">
      <c r="A73" s="206">
        <f ca="1">IFERROR(INDIRECT("fixtures!" &amp; Dashboard!J1 &amp;50) - Dashboard!K1/24,"TBC")</f>
        <v>45921.583333333336</v>
      </c>
      <c r="B73" s="207" t="s">
        <v>443</v>
      </c>
      <c r="C73" s="19"/>
      <c r="D73" s="207" t="str">
        <f>IF(ISBLANK(fixtures!$K50),"",fixtures!$K50)</f>
        <v/>
      </c>
      <c r="E73" s="208" t="str">
        <f>IF(ISBLANK(fixtures!$L50),"",":")</f>
        <v/>
      </c>
      <c r="F73" s="209" t="str">
        <f>IF(ISBLANK(fixtures!$L50),"",fixtures!$L50)</f>
        <v/>
      </c>
      <c r="G73" s="19"/>
      <c r="H73" s="209" t="s">
        <v>2</v>
      </c>
      <c r="I73" s="209" t="s">
        <v>448</v>
      </c>
      <c r="J73" s="19"/>
      <c r="K73" s="19"/>
      <c r="L73" s="19"/>
      <c r="M73" s="19"/>
    </row>
    <row r="74" spans="1:21">
      <c r="A74" s="206">
        <f ca="1">IFERROR(INDIRECT("fixtures!" &amp; Dashboard!J1 &amp;51) - Dashboard!K1/24,"TBC")</f>
        <v>45921.6875</v>
      </c>
      <c r="B74" s="207" t="s">
        <v>1</v>
      </c>
      <c r="C74" s="19"/>
      <c r="D74" s="207" t="str">
        <f>IF(ISBLANK(fixtures!$K51),"",fixtures!$K51)</f>
        <v/>
      </c>
      <c r="E74" s="208" t="str">
        <f>IF(ISBLANK(fixtures!$L51),"",":")</f>
        <v/>
      </c>
      <c r="F74" s="209" t="str">
        <f>IF(ISBLANK(fixtures!$L51),"",fixtures!$L51)</f>
        <v/>
      </c>
      <c r="G74" s="19"/>
      <c r="H74" s="209" t="s">
        <v>10</v>
      </c>
      <c r="I74" s="209" t="s">
        <v>48</v>
      </c>
      <c r="J74" s="19"/>
      <c r="K74" s="19"/>
      <c r="L74" s="19"/>
      <c r="M74" s="19"/>
    </row>
    <row r="75" spans="1:21">
      <c r="A75" s="210" t="str">
        <f>Dashboard!D1 &amp; " Time"</f>
        <v>London Time</v>
      </c>
      <c r="B75" s="19"/>
      <c r="C75" s="19"/>
      <c r="D75" s="19"/>
      <c r="E75" s="19"/>
      <c r="F75" s="19"/>
      <c r="G75" s="19"/>
      <c r="H75" s="19"/>
      <c r="I75" s="296" t="s">
        <v>442</v>
      </c>
      <c r="J75" s="19"/>
      <c r="K75" s="19"/>
      <c r="L75" s="19"/>
      <c r="M75" s="19"/>
      <c r="N75" s="319"/>
      <c r="O75" s="319"/>
      <c r="P75" s="319"/>
      <c r="Q75" s="319"/>
      <c r="R75" s="319"/>
      <c r="S75" s="319"/>
      <c r="T75" s="319"/>
      <c r="U75" s="319"/>
    </row>
    <row r="76" spans="1:21" ht="31.5">
      <c r="A76" s="24"/>
      <c r="B76" s="24"/>
      <c r="C76" s="24"/>
      <c r="D76" s="24"/>
      <c r="E76" s="24"/>
      <c r="F76" s="24"/>
      <c r="G76" s="24"/>
      <c r="H76" s="84" t="s">
        <v>58</v>
      </c>
      <c r="I76" s="24"/>
      <c r="J76" s="24"/>
      <c r="K76" s="24"/>
      <c r="L76" s="24"/>
      <c r="M76" s="24"/>
    </row>
    <row r="77" spans="1:21">
      <c r="A77" s="162" t="s">
        <v>567</v>
      </c>
      <c r="B77" s="163"/>
      <c r="C77" s="163"/>
      <c r="D77" s="163"/>
      <c r="E77" s="163"/>
      <c r="F77" s="163"/>
      <c r="G77" s="163"/>
      <c r="H77" s="163"/>
      <c r="I77" s="163"/>
      <c r="J77" s="163"/>
      <c r="K77" s="163"/>
      <c r="L77" s="163"/>
      <c r="M77" s="163"/>
    </row>
    <row r="78" spans="1:21">
      <c r="A78" s="140">
        <f ca="1">IFERROR(INDIRECT("fixtures!" &amp; Dashboard!J1 &amp;52) - Dashboard!K1/24,"TBC")</f>
        <v>45927.520833333336</v>
      </c>
      <c r="B78" s="85" t="s">
        <v>107</v>
      </c>
      <c r="C78" s="25"/>
      <c r="D78" s="85" t="str">
        <f>IF(ISBLANK(fixtures!$K52),"",fixtures!$K52)</f>
        <v/>
      </c>
      <c r="E78" s="86" t="str">
        <f>IF(ISBLANK(fixtures!$L52),"",":")</f>
        <v/>
      </c>
      <c r="F78" s="87" t="str">
        <f>IF(ISBLANK(fixtures!$L52),"",fixtures!$L52)</f>
        <v/>
      </c>
      <c r="G78" s="25"/>
      <c r="H78" s="87" t="s">
        <v>11</v>
      </c>
      <c r="I78" s="87" t="s">
        <v>172</v>
      </c>
      <c r="J78" s="25"/>
      <c r="K78" s="25"/>
      <c r="L78" s="25"/>
      <c r="M78" s="25"/>
    </row>
    <row r="79" spans="1:21">
      <c r="A79" s="140">
        <f ca="1">IFERROR(INDIRECT("fixtures!" &amp; Dashboard!J1 &amp;53) - Dashboard!K1/24,"TBC")</f>
        <v>45927.625</v>
      </c>
      <c r="B79" s="85" t="s">
        <v>2</v>
      </c>
      <c r="C79" s="25"/>
      <c r="D79" s="85" t="str">
        <f>IF(ISBLANK(fixtures!$K53),"",fixtures!$K53)</f>
        <v/>
      </c>
      <c r="E79" s="86" t="str">
        <f>IF(ISBLANK(fixtures!$L53),"",":")</f>
        <v/>
      </c>
      <c r="F79" s="87" t="str">
        <f>IF(ISBLANK(fixtures!$L53),"",fixtures!$L53)</f>
        <v/>
      </c>
      <c r="G79" s="25"/>
      <c r="H79" s="87" t="s">
        <v>108</v>
      </c>
      <c r="I79" s="87" t="s">
        <v>49</v>
      </c>
      <c r="J79" s="25"/>
      <c r="K79" s="25"/>
      <c r="L79" s="25"/>
      <c r="M79" s="25"/>
    </row>
    <row r="80" spans="1:21">
      <c r="A80" s="140">
        <f ca="1">IFERROR(INDIRECT("fixtures!" &amp; Dashboard!J1 &amp;54) - Dashboard!K1/24,"TBC")</f>
        <v>45927.625</v>
      </c>
      <c r="B80" s="85" t="s">
        <v>6</v>
      </c>
      <c r="C80" s="25"/>
      <c r="D80" s="85" t="str">
        <f>IF(ISBLANK(fixtures!$K54),"",fixtures!$K54)</f>
        <v/>
      </c>
      <c r="E80" s="86" t="str">
        <f>IF(ISBLANK(fixtures!$L54),"",":")</f>
        <v/>
      </c>
      <c r="F80" s="87" t="str">
        <f>IF(ISBLANK(fixtures!$L54),"",fixtures!$L54)</f>
        <v/>
      </c>
      <c r="G80" s="25"/>
      <c r="H80" s="87" t="s">
        <v>4</v>
      </c>
      <c r="I80" s="87" t="s">
        <v>51</v>
      </c>
      <c r="J80" s="25"/>
      <c r="K80" s="25"/>
      <c r="L80" s="25"/>
      <c r="M80" s="25"/>
      <c r="N80" s="319"/>
      <c r="O80" s="319"/>
      <c r="P80" s="319"/>
      <c r="Q80" s="319"/>
      <c r="R80" s="319"/>
      <c r="S80" s="319"/>
      <c r="T80" s="319"/>
      <c r="U80" s="319"/>
    </row>
    <row r="81" spans="1:21">
      <c r="A81" s="140">
        <f ca="1">IFERROR(INDIRECT("fixtures!" &amp; Dashboard!J1 &amp;55) - Dashboard!K1/24,"TBC")</f>
        <v>45927.625</v>
      </c>
      <c r="B81" s="85" t="s">
        <v>7</v>
      </c>
      <c r="C81" s="25"/>
      <c r="D81" s="85" t="str">
        <f>IF(ISBLANK(fixtures!$K55),"",fixtures!$K55)</f>
        <v/>
      </c>
      <c r="E81" s="86" t="str">
        <f>IF(ISBLANK(fixtures!$L55),"",":")</f>
        <v/>
      </c>
      <c r="F81" s="87" t="str">
        <f>IF(ISBLANK(fixtures!$L55),"",fixtures!$L55)</f>
        <v/>
      </c>
      <c r="G81" s="25"/>
      <c r="H81" s="87" t="s">
        <v>9</v>
      </c>
      <c r="I81" s="87" t="s">
        <v>44</v>
      </c>
      <c r="J81" s="25"/>
      <c r="K81" s="25"/>
      <c r="L81" s="25"/>
      <c r="M81" s="25"/>
    </row>
    <row r="82" spans="1:21">
      <c r="A82" s="140">
        <f ca="1">IFERROR(INDIRECT("fixtures!" &amp; Dashboard!J1 &amp;56) - Dashboard!K1/24,"TBC")</f>
        <v>45927.625</v>
      </c>
      <c r="B82" s="85" t="s">
        <v>444</v>
      </c>
      <c r="C82" s="25"/>
      <c r="D82" s="85" t="str">
        <f>IF(ISBLANK(fixtures!$K56),"",fixtures!$K56)</f>
        <v/>
      </c>
      <c r="E82" s="86" t="str">
        <f>IF(ISBLANK(fixtures!$L56),"",":")</f>
        <v/>
      </c>
      <c r="F82" s="87" t="str">
        <f>IF(ISBLANK(fixtures!$L56),"",fixtures!$L56)</f>
        <v/>
      </c>
      <c r="G82" s="25"/>
      <c r="H82" s="87" t="s">
        <v>3</v>
      </c>
      <c r="I82" s="87" t="s">
        <v>449</v>
      </c>
      <c r="J82" s="25"/>
      <c r="K82" s="25"/>
      <c r="L82" s="25"/>
      <c r="M82" s="25"/>
    </row>
    <row r="83" spans="1:21">
      <c r="A83" s="140">
        <f ca="1">IFERROR(INDIRECT("fixtures!" &amp; Dashboard!J1 &amp;57) - Dashboard!K1/24,"TBC")</f>
        <v>45927.625</v>
      </c>
      <c r="B83" s="85" t="s">
        <v>10</v>
      </c>
      <c r="C83" s="25"/>
      <c r="D83" s="85" t="str">
        <f>IF(ISBLANK(fixtures!$K57),"",fixtures!$K57)</f>
        <v/>
      </c>
      <c r="E83" s="86" t="str">
        <f>IF(ISBLANK(fixtures!$L57),"",":")</f>
        <v/>
      </c>
      <c r="F83" s="87" t="str">
        <f>IF(ISBLANK(fixtures!$L57),"",fixtures!$L57)</f>
        <v/>
      </c>
      <c r="G83" s="25"/>
      <c r="H83" s="87" t="s">
        <v>5</v>
      </c>
      <c r="I83" s="87" t="s">
        <v>50</v>
      </c>
      <c r="J83" s="25"/>
      <c r="K83" s="25"/>
      <c r="L83" s="25"/>
      <c r="M83" s="25"/>
    </row>
    <row r="84" spans="1:21">
      <c r="A84" s="140">
        <f ca="1">IFERROR(INDIRECT("fixtures!" &amp; Dashboard!J1 &amp;58) - Dashboard!K1/24,"TBC")</f>
        <v>45927.729166666664</v>
      </c>
      <c r="B84" s="85" t="s">
        <v>188</v>
      </c>
      <c r="C84" s="25"/>
      <c r="D84" s="85" t="str">
        <f>IF(ISBLANK(fixtures!$K58),"",fixtures!$K58)</f>
        <v/>
      </c>
      <c r="E84" s="86" t="str">
        <f>IF(ISBLANK(fixtures!$L58),"",":")</f>
        <v/>
      </c>
      <c r="F84" s="87" t="str">
        <f>IF(ISBLANK(fixtures!$L58),"",fixtures!$L58)</f>
        <v/>
      </c>
      <c r="G84" s="25"/>
      <c r="H84" s="87" t="s">
        <v>443</v>
      </c>
      <c r="I84" s="87" t="s">
        <v>158</v>
      </c>
      <c r="J84" s="25"/>
      <c r="K84" s="25"/>
      <c r="L84" s="25"/>
      <c r="M84" s="25"/>
    </row>
    <row r="85" spans="1:21">
      <c r="A85" s="162" t="s">
        <v>615</v>
      </c>
      <c r="B85" s="163"/>
      <c r="C85" s="163"/>
      <c r="D85" s="163"/>
      <c r="E85" s="163"/>
      <c r="F85" s="163"/>
      <c r="G85" s="163"/>
      <c r="H85" s="163"/>
      <c r="I85" s="163"/>
      <c r="J85" s="163"/>
      <c r="K85" s="163"/>
      <c r="L85" s="163"/>
      <c r="M85" s="163"/>
    </row>
    <row r="86" spans="1:21">
      <c r="A86" s="140">
        <f ca="1">IFERROR(INDIRECT("fixtures!" &amp; Dashboard!J1 &amp;59) - Dashboard!K1/24,"TBC")</f>
        <v>45928.583333333336</v>
      </c>
      <c r="B86" s="85" t="s">
        <v>13</v>
      </c>
      <c r="C86" s="25"/>
      <c r="D86" s="85" t="str">
        <f>IF(ISBLANK(fixtures!$K59),"",fixtures!$K59)</f>
        <v/>
      </c>
      <c r="E86" s="86" t="str">
        <f>IF(ISBLANK(fixtures!$L59),"",":")</f>
        <v/>
      </c>
      <c r="F86" s="87" t="str">
        <f>IF(ISBLANK(fixtures!$L59),"",fixtures!$L59)</f>
        <v/>
      </c>
      <c r="G86" s="25"/>
      <c r="H86" s="87" t="s">
        <v>15</v>
      </c>
      <c r="I86" s="87" t="s">
        <v>45</v>
      </c>
      <c r="J86" s="25"/>
      <c r="K86" s="25"/>
      <c r="L86" s="25"/>
      <c r="M86" s="25"/>
      <c r="N86" s="319"/>
      <c r="O86" s="319"/>
      <c r="P86" s="319"/>
      <c r="Q86" s="319"/>
      <c r="R86" s="319"/>
      <c r="S86" s="319"/>
      <c r="T86" s="319"/>
      <c r="U86" s="319"/>
    </row>
    <row r="87" spans="1:21">
      <c r="A87" s="140">
        <f ca="1">IFERROR(INDIRECT("fixtures!" &amp; Dashboard!J1 &amp;60) - Dashboard!K1/24,"TBC")</f>
        <v>45928.6875</v>
      </c>
      <c r="B87" s="85" t="s">
        <v>12</v>
      </c>
      <c r="C87" s="25"/>
      <c r="D87" s="85" t="str">
        <f>IF(ISBLANK(fixtures!$K60),"",fixtures!$K60)</f>
        <v/>
      </c>
      <c r="E87" s="86" t="str">
        <f>IF(ISBLANK(fixtures!$L60),"",":")</f>
        <v/>
      </c>
      <c r="F87" s="87" t="str">
        <f>IF(ISBLANK(fixtures!$L60),"",fixtures!$L60)</f>
        <v/>
      </c>
      <c r="G87" s="25"/>
      <c r="H87" s="87" t="s">
        <v>1</v>
      </c>
      <c r="I87" s="87" t="s">
        <v>46</v>
      </c>
      <c r="J87" s="25"/>
      <c r="K87" s="25"/>
      <c r="L87" s="25"/>
      <c r="M87" s="25"/>
    </row>
    <row r="88" spans="1:21">
      <c r="A88" s="162" t="s">
        <v>616</v>
      </c>
      <c r="B88" s="163"/>
      <c r="C88" s="163"/>
      <c r="D88" s="163"/>
      <c r="E88" s="163"/>
      <c r="F88" s="163"/>
      <c r="G88" s="163"/>
      <c r="H88" s="163"/>
      <c r="I88" s="163"/>
      <c r="J88" s="163"/>
      <c r="K88" s="163"/>
      <c r="L88" s="163"/>
      <c r="M88" s="163"/>
    </row>
    <row r="89" spans="1:21">
      <c r="A89" s="140">
        <f ca="1">IFERROR(INDIRECT("fixtures!" &amp; Dashboard!J1 &amp;61) - Dashboard!K1/24,"TBC")</f>
        <v>45929.833333333336</v>
      </c>
      <c r="B89" s="85" t="s">
        <v>8</v>
      </c>
      <c r="C89" s="25"/>
      <c r="D89" s="85" t="str">
        <f>IF(ISBLANK(fixtures!$K61),"",fixtures!$K61)</f>
        <v/>
      </c>
      <c r="E89" s="86" t="str">
        <f>IF(ISBLANK(fixtures!$L61),"",":")</f>
        <v/>
      </c>
      <c r="F89" s="87" t="str">
        <f>IF(ISBLANK(fixtures!$L61),"",fixtures!$L61)</f>
        <v/>
      </c>
      <c r="G89" s="25"/>
      <c r="H89" s="87" t="s">
        <v>14</v>
      </c>
      <c r="I89" s="87" t="s">
        <v>452</v>
      </c>
      <c r="J89" s="25"/>
      <c r="K89" s="25"/>
      <c r="L89" s="25"/>
      <c r="M89" s="25"/>
    </row>
    <row r="90" spans="1:21">
      <c r="A90" s="88" t="str">
        <f>Dashboard!D1 &amp; " Time"</f>
        <v>London Time</v>
      </c>
      <c r="B90" s="25"/>
      <c r="C90" s="25"/>
      <c r="D90" s="25"/>
      <c r="E90" s="25"/>
      <c r="F90" s="25"/>
      <c r="G90" s="25"/>
      <c r="H90" s="25"/>
      <c r="I90" s="297" t="s">
        <v>442</v>
      </c>
      <c r="J90" s="25"/>
      <c r="K90" s="25"/>
      <c r="L90" s="25"/>
      <c r="M90" s="25"/>
      <c r="N90" s="319"/>
      <c r="O90" s="319"/>
      <c r="P90" s="319"/>
      <c r="Q90" s="319"/>
      <c r="R90" s="319"/>
      <c r="S90" s="319"/>
      <c r="T90" s="319"/>
      <c r="U90" s="319"/>
    </row>
    <row r="91" spans="1:21" ht="31.5">
      <c r="A91" s="12"/>
      <c r="B91" s="12"/>
      <c r="C91" s="12"/>
      <c r="D91" s="12"/>
      <c r="E91" s="12"/>
      <c r="F91" s="12"/>
      <c r="G91" s="12"/>
      <c r="H91" s="144" t="s">
        <v>184</v>
      </c>
      <c r="I91" s="12"/>
      <c r="J91" s="12"/>
      <c r="K91" s="12"/>
      <c r="L91" s="12"/>
      <c r="M91" s="12"/>
    </row>
    <row r="92" spans="1:21">
      <c r="A92" s="158" t="s">
        <v>568</v>
      </c>
      <c r="B92" s="159"/>
      <c r="C92" s="159"/>
      <c r="D92" s="159"/>
      <c r="E92" s="159"/>
      <c r="F92" s="159"/>
      <c r="G92" s="159"/>
      <c r="H92" s="159"/>
      <c r="I92" s="159"/>
      <c r="J92" s="159"/>
      <c r="K92" s="159"/>
      <c r="L92" s="159"/>
      <c r="M92" s="159"/>
    </row>
    <row r="93" spans="1:21">
      <c r="A93" s="145">
        <f ca="1">IFERROR(INDIRECT("fixtures!" &amp; Dashboard!J1 &amp;62) - Dashboard!K1/24,"TBC")</f>
        <v>45934.625</v>
      </c>
      <c r="B93" s="146" t="s">
        <v>1</v>
      </c>
      <c r="C93" s="13"/>
      <c r="D93" s="146" t="str">
        <f>IF(ISBLANK(fixtures!$K62),"",fixtures!$K62)</f>
        <v/>
      </c>
      <c r="E93" s="147" t="str">
        <f>IF(ISBLANK(fixtures!$L62),"",":")</f>
        <v/>
      </c>
      <c r="F93" s="148" t="str">
        <f>IF(ISBLANK(fixtures!$L62),"",fixtures!$L62)</f>
        <v/>
      </c>
      <c r="G93" s="13"/>
      <c r="H93" s="148" t="s">
        <v>14</v>
      </c>
      <c r="I93" s="148" t="s">
        <v>48</v>
      </c>
      <c r="J93" s="13"/>
      <c r="K93" s="13"/>
      <c r="L93" s="13"/>
      <c r="M93" s="13"/>
    </row>
    <row r="94" spans="1:21">
      <c r="A94" s="145">
        <f ca="1">IFERROR(INDIRECT("fixtures!" &amp; Dashboard!J1 &amp;63) - Dashboard!K1/24,"TBC")</f>
        <v>45934.625</v>
      </c>
      <c r="B94" s="146" t="s">
        <v>2</v>
      </c>
      <c r="C94" s="13"/>
      <c r="D94" s="146" t="str">
        <f>IF(ISBLANK(fixtures!$K63),"",fixtures!$K63)</f>
        <v/>
      </c>
      <c r="E94" s="147" t="str">
        <f>IF(ISBLANK(fixtures!$L63),"",":")</f>
        <v/>
      </c>
      <c r="F94" s="148" t="str">
        <f>IF(ISBLANK(fixtures!$L63),"",fixtures!$L63)</f>
        <v/>
      </c>
      <c r="G94" s="13"/>
      <c r="H94" s="148" t="s">
        <v>5</v>
      </c>
      <c r="I94" s="148" t="s">
        <v>49</v>
      </c>
      <c r="J94" s="13"/>
      <c r="K94" s="13"/>
      <c r="L94" s="13"/>
      <c r="M94" s="13"/>
    </row>
    <row r="95" spans="1:21">
      <c r="A95" s="145">
        <f ca="1">IFERROR(INDIRECT("fixtures!" &amp; Dashboard!J1 &amp;64) - Dashboard!K1/24,"TBC")</f>
        <v>45934.625</v>
      </c>
      <c r="B95" s="146" t="s">
        <v>3</v>
      </c>
      <c r="C95" s="13"/>
      <c r="D95" s="146" t="str">
        <f>IF(ISBLANK(fixtures!$K64),"",fixtures!$K64)</f>
        <v/>
      </c>
      <c r="E95" s="147" t="str">
        <f>IF(ISBLANK(fixtures!$L64),"",":")</f>
        <v/>
      </c>
      <c r="F95" s="148" t="str">
        <f>IF(ISBLANK(fixtures!$L64),"",fixtures!$L64)</f>
        <v/>
      </c>
      <c r="G95" s="13"/>
      <c r="H95" s="148" t="s">
        <v>108</v>
      </c>
      <c r="I95" s="148" t="s">
        <v>43</v>
      </c>
      <c r="J95" s="13"/>
      <c r="K95" s="13"/>
      <c r="L95" s="13"/>
      <c r="M95" s="13"/>
    </row>
    <row r="96" spans="1:21">
      <c r="A96" s="145">
        <f ca="1">IFERROR(INDIRECT("fixtures!" &amp; Dashboard!J1 &amp;65) - Dashboard!K1/24,"TBC")</f>
        <v>45934.625</v>
      </c>
      <c r="B96" s="146" t="s">
        <v>107</v>
      </c>
      <c r="C96" s="13"/>
      <c r="D96" s="146" t="str">
        <f>IF(ISBLANK(fixtures!$K65),"",fixtures!$K65)</f>
        <v/>
      </c>
      <c r="E96" s="147" t="str">
        <f>IF(ISBLANK(fixtures!$L65),"",":")</f>
        <v/>
      </c>
      <c r="F96" s="148" t="str">
        <f>IF(ISBLANK(fixtures!$L65),"",fixtures!$L65)</f>
        <v/>
      </c>
      <c r="G96" s="13"/>
      <c r="H96" s="148" t="s">
        <v>10</v>
      </c>
      <c r="I96" s="148" t="s">
        <v>172</v>
      </c>
      <c r="J96" s="13"/>
      <c r="K96" s="13"/>
      <c r="L96" s="13"/>
      <c r="M96" s="13"/>
    </row>
    <row r="97" spans="1:21">
      <c r="A97" s="145">
        <f ca="1">IFERROR(INDIRECT("fixtures!" &amp; Dashboard!J1 &amp;66) - Dashboard!K1/24,"TBC")</f>
        <v>45934.625</v>
      </c>
      <c r="B97" s="146" t="s">
        <v>6</v>
      </c>
      <c r="C97" s="13"/>
      <c r="D97" s="146" t="str">
        <f>IF(ISBLANK(fixtures!$K66),"",fixtures!$K66)</f>
        <v/>
      </c>
      <c r="E97" s="147" t="str">
        <f>IF(ISBLANK(fixtures!$L66),"",":")</f>
        <v/>
      </c>
      <c r="F97" s="148" t="str">
        <f>IF(ISBLANK(fixtures!$L66),"",fixtures!$L66)</f>
        <v/>
      </c>
      <c r="G97" s="13"/>
      <c r="H97" s="148" t="s">
        <v>9</v>
      </c>
      <c r="I97" s="148" t="s">
        <v>51</v>
      </c>
      <c r="J97" s="13"/>
      <c r="K97" s="13"/>
      <c r="L97" s="13"/>
      <c r="M97" s="13"/>
    </row>
    <row r="98" spans="1:21">
      <c r="A98" s="145">
        <f ca="1">IFERROR(INDIRECT("fixtures!" &amp; Dashboard!J1 &amp;67) - Dashboard!K1/24,"TBC")</f>
        <v>45934.625</v>
      </c>
      <c r="B98" s="146" t="s">
        <v>8</v>
      </c>
      <c r="C98" s="13"/>
      <c r="D98" s="146" t="str">
        <f>IF(ISBLANK(fixtures!$K67),"",fixtures!$K67)</f>
        <v/>
      </c>
      <c r="E98" s="147" t="str">
        <f>IF(ISBLANK(fixtures!$L67),"",":")</f>
        <v/>
      </c>
      <c r="F98" s="148" t="str">
        <f>IF(ISBLANK(fixtures!$L67),"",fixtures!$L67)</f>
        <v/>
      </c>
      <c r="G98" s="13"/>
      <c r="H98" s="148" t="s">
        <v>7</v>
      </c>
      <c r="I98" s="148" t="s">
        <v>452</v>
      </c>
      <c r="J98" s="13"/>
      <c r="K98" s="13"/>
      <c r="L98" s="13"/>
      <c r="M98" s="13"/>
    </row>
    <row r="99" spans="1:21">
      <c r="A99" s="145">
        <f ca="1">IFERROR(INDIRECT("fixtures!" &amp; Dashboard!J1 &amp;68) - Dashboard!K1/24,"TBC")</f>
        <v>45934.625</v>
      </c>
      <c r="B99" s="146" t="s">
        <v>444</v>
      </c>
      <c r="C99" s="13"/>
      <c r="D99" s="146" t="str">
        <f>IF(ISBLANK(fixtures!$K68),"",fixtures!$K68)</f>
        <v/>
      </c>
      <c r="E99" s="147" t="str">
        <f>IF(ISBLANK(fixtures!$L68),"",":")</f>
        <v/>
      </c>
      <c r="F99" s="148" t="str">
        <f>IF(ISBLANK(fixtures!$L68),"",fixtures!$L68)</f>
        <v/>
      </c>
      <c r="G99" s="13"/>
      <c r="H99" s="148" t="s">
        <v>13</v>
      </c>
      <c r="I99" s="148" t="s">
        <v>449</v>
      </c>
      <c r="J99" s="13"/>
      <c r="K99" s="13"/>
      <c r="L99" s="13"/>
      <c r="M99" s="13"/>
      <c r="N99" s="319"/>
      <c r="O99" s="319"/>
      <c r="P99" s="319"/>
      <c r="Q99" s="319"/>
      <c r="R99" s="319"/>
      <c r="S99" s="319"/>
      <c r="T99" s="319"/>
      <c r="U99" s="319"/>
    </row>
    <row r="100" spans="1:21">
      <c r="A100" s="145">
        <f ca="1">IFERROR(INDIRECT("fixtures!" &amp; Dashboard!J1 &amp;69) - Dashboard!K1/24,"TBC")</f>
        <v>45934.625</v>
      </c>
      <c r="B100" s="146" t="s">
        <v>11</v>
      </c>
      <c r="C100" s="13"/>
      <c r="D100" s="146" t="str">
        <f>IF(ISBLANK(fixtures!$K69),"",fixtures!$K69)</f>
        <v/>
      </c>
      <c r="E100" s="147" t="str">
        <f>IF(ISBLANK(fixtures!$L69),"",":")</f>
        <v/>
      </c>
      <c r="F100" s="148" t="str">
        <f>IF(ISBLANK(fixtures!$L69),"",fixtures!$L69)</f>
        <v/>
      </c>
      <c r="G100" s="13"/>
      <c r="H100" s="148" t="s">
        <v>443</v>
      </c>
      <c r="I100" s="148" t="s">
        <v>47</v>
      </c>
      <c r="J100" s="13"/>
      <c r="K100" s="13"/>
      <c r="L100" s="13"/>
      <c r="M100" s="13"/>
    </row>
    <row r="101" spans="1:21">
      <c r="A101" s="145">
        <f ca="1">IFERROR(INDIRECT("fixtures!" &amp; Dashboard!J1 &amp;70) - Dashboard!K1/24,"TBC")</f>
        <v>45934.625</v>
      </c>
      <c r="B101" s="146" t="s">
        <v>12</v>
      </c>
      <c r="C101" s="13"/>
      <c r="D101" s="146" t="str">
        <f>IF(ISBLANK(fixtures!$K70),"",fixtures!$K70)</f>
        <v/>
      </c>
      <c r="E101" s="147" t="str">
        <f>IF(ISBLANK(fixtures!$L70),"",":")</f>
        <v/>
      </c>
      <c r="F101" s="148" t="str">
        <f>IF(ISBLANK(fixtures!$L70),"",fixtures!$L70)</f>
        <v/>
      </c>
      <c r="G101" s="13"/>
      <c r="H101" s="148" t="s">
        <v>188</v>
      </c>
      <c r="I101" s="148" t="s">
        <v>46</v>
      </c>
      <c r="J101" s="13"/>
      <c r="K101" s="13"/>
      <c r="L101" s="13"/>
      <c r="M101" s="13"/>
    </row>
    <row r="102" spans="1:21">
      <c r="A102" s="145">
        <f ca="1">IFERROR(INDIRECT("fixtures!" &amp; Dashboard!J1 &amp;71) - Dashboard!K1/24,"TBC")</f>
        <v>45934.625</v>
      </c>
      <c r="B102" s="146" t="s">
        <v>15</v>
      </c>
      <c r="C102" s="13"/>
      <c r="D102" s="146" t="str">
        <f>IF(ISBLANK(fixtures!$K71),"",fixtures!$K71)</f>
        <v/>
      </c>
      <c r="E102" s="147" t="str">
        <f>IF(ISBLANK(fixtures!$L71),"",":")</f>
        <v/>
      </c>
      <c r="F102" s="148" t="str">
        <f>IF(ISBLANK(fixtures!$L71),"",fixtures!$L71)</f>
        <v/>
      </c>
      <c r="G102" s="13"/>
      <c r="H102" s="148" t="s">
        <v>4</v>
      </c>
      <c r="I102" s="148" t="s">
        <v>52</v>
      </c>
      <c r="J102" s="13"/>
      <c r="K102" s="13"/>
      <c r="L102" s="13"/>
      <c r="M102" s="13"/>
    </row>
    <row r="103" spans="1:21">
      <c r="A103" s="149" t="str">
        <f>Dashboard!D1 &amp; " Time"</f>
        <v>London Time</v>
      </c>
      <c r="B103" s="13"/>
      <c r="C103" s="13"/>
      <c r="D103" s="13"/>
      <c r="E103" s="13"/>
      <c r="F103" s="13"/>
      <c r="G103" s="13"/>
      <c r="H103" s="13"/>
      <c r="I103" s="295" t="s">
        <v>442</v>
      </c>
      <c r="J103" s="13"/>
      <c r="K103" s="13"/>
      <c r="L103" s="13"/>
      <c r="M103" s="13"/>
    </row>
    <row r="104" spans="1:21" ht="31.5">
      <c r="A104" s="28"/>
      <c r="B104" s="28"/>
      <c r="C104" s="28"/>
      <c r="D104" s="28"/>
      <c r="E104" s="28"/>
      <c r="F104" s="28"/>
      <c r="G104" s="28"/>
      <c r="H104" s="91" t="s">
        <v>59</v>
      </c>
      <c r="I104" s="28"/>
      <c r="J104" s="28"/>
      <c r="K104" s="28"/>
      <c r="L104" s="28"/>
      <c r="M104" s="28"/>
      <c r="N104" s="319"/>
      <c r="O104" s="319"/>
      <c r="P104" s="319"/>
      <c r="Q104" s="319"/>
      <c r="R104" s="319"/>
      <c r="S104" s="319"/>
      <c r="T104" s="319"/>
      <c r="U104" s="319"/>
    </row>
    <row r="105" spans="1:21">
      <c r="A105" s="164" t="s">
        <v>569</v>
      </c>
      <c r="B105" s="165"/>
      <c r="C105" s="165"/>
      <c r="D105" s="165"/>
      <c r="E105" s="165"/>
      <c r="F105" s="165"/>
      <c r="G105" s="165"/>
      <c r="H105" s="165"/>
      <c r="I105" s="165"/>
      <c r="J105" s="165"/>
      <c r="K105" s="165"/>
      <c r="L105" s="165"/>
      <c r="M105" s="165"/>
    </row>
    <row r="106" spans="1:21">
      <c r="A106" s="141">
        <f ca="1">IFERROR(INDIRECT("fixtures!" &amp; Dashboard!J1 &amp;72) - Dashboard!K1/24,"TBC")</f>
        <v>45948.625</v>
      </c>
      <c r="B106" s="92" t="s">
        <v>4</v>
      </c>
      <c r="C106" s="29"/>
      <c r="D106" s="92" t="str">
        <f>IF(ISBLANK(fixtures!$K72),"",fixtures!$K72)</f>
        <v/>
      </c>
      <c r="E106" s="93" t="str">
        <f>IF(ISBLANK(fixtures!$L72),"",":")</f>
        <v/>
      </c>
      <c r="F106" s="94" t="str">
        <f>IF(ISBLANK(fixtures!$L72),"",fixtures!$L72)</f>
        <v/>
      </c>
      <c r="G106" s="29"/>
      <c r="H106" s="94" t="s">
        <v>12</v>
      </c>
      <c r="I106" s="94" t="s">
        <v>217</v>
      </c>
      <c r="J106" s="29"/>
      <c r="K106" s="29"/>
      <c r="L106" s="29"/>
      <c r="M106" s="29"/>
    </row>
    <row r="107" spans="1:21">
      <c r="A107" s="141">
        <f ca="1">IFERROR(INDIRECT("fixtures!" &amp; Dashboard!J1 &amp;73) - Dashboard!K1/24,"TBC")</f>
        <v>45948.625</v>
      </c>
      <c r="B107" s="92" t="s">
        <v>5</v>
      </c>
      <c r="C107" s="29"/>
      <c r="D107" s="92" t="str">
        <f>IF(ISBLANK(fixtures!$K73),"",fixtures!$K73)</f>
        <v/>
      </c>
      <c r="E107" s="93" t="str">
        <f>IF(ISBLANK(fixtures!$L73),"",":")</f>
        <v/>
      </c>
      <c r="F107" s="94" t="str">
        <f>IF(ISBLANK(fixtures!$L73),"",fixtures!$L73)</f>
        <v/>
      </c>
      <c r="G107" s="29"/>
      <c r="H107" s="94" t="s">
        <v>444</v>
      </c>
      <c r="I107" s="94" t="s">
        <v>451</v>
      </c>
      <c r="J107" s="29"/>
      <c r="K107" s="29"/>
      <c r="L107" s="29"/>
      <c r="M107" s="29"/>
      <c r="N107" s="319"/>
      <c r="O107" s="319"/>
      <c r="P107" s="319"/>
      <c r="Q107" s="319"/>
      <c r="R107" s="319"/>
      <c r="S107" s="319"/>
      <c r="T107" s="319"/>
      <c r="U107" s="319"/>
    </row>
    <row r="108" spans="1:21">
      <c r="A108" s="141">
        <f ca="1">IFERROR(INDIRECT("fixtures!" &amp; Dashboard!J1 &amp;74) - Dashboard!K1/24,"TBC")</f>
        <v>45948.625</v>
      </c>
      <c r="B108" s="92" t="s">
        <v>7</v>
      </c>
      <c r="C108" s="29"/>
      <c r="D108" s="92" t="str">
        <f>IF(ISBLANK(fixtures!$K74),"",fixtures!$K74)</f>
        <v/>
      </c>
      <c r="E108" s="93" t="str">
        <f>IF(ISBLANK(fixtures!$L74),"",":")</f>
        <v/>
      </c>
      <c r="F108" s="94" t="str">
        <f>IF(ISBLANK(fixtures!$L74),"",fixtures!$L74)</f>
        <v/>
      </c>
      <c r="G108" s="29"/>
      <c r="H108" s="94" t="s">
        <v>3</v>
      </c>
      <c r="I108" s="94" t="s">
        <v>44</v>
      </c>
      <c r="J108" s="29"/>
      <c r="K108" s="29"/>
      <c r="L108" s="29"/>
      <c r="M108" s="29"/>
    </row>
    <row r="109" spans="1:21">
      <c r="A109" s="141">
        <f ca="1">IFERROR(INDIRECT("fixtures!" &amp; Dashboard!J1 &amp;75) - Dashboard!K1/24,"TBC")</f>
        <v>45948.625</v>
      </c>
      <c r="B109" s="92" t="s">
        <v>108</v>
      </c>
      <c r="C109" s="29"/>
      <c r="D109" s="92" t="str">
        <f>IF(ISBLANK(fixtures!$K75),"",fixtures!$K75)</f>
        <v/>
      </c>
      <c r="E109" s="93" t="str">
        <f>IF(ISBLANK(fixtures!$L75),"",":")</f>
        <v/>
      </c>
      <c r="F109" s="94" t="str">
        <f>IF(ISBLANK(fixtures!$L75),"",fixtures!$L75)</f>
        <v/>
      </c>
      <c r="G109" s="29"/>
      <c r="H109" s="94" t="s">
        <v>1</v>
      </c>
      <c r="I109" s="94" t="s">
        <v>157</v>
      </c>
      <c r="J109" s="29"/>
      <c r="K109" s="29"/>
      <c r="L109" s="29"/>
      <c r="M109" s="29"/>
    </row>
    <row r="110" spans="1:21">
      <c r="A110" s="141">
        <f ca="1">IFERROR(INDIRECT("fixtures!" &amp; Dashboard!J1 &amp;76) - Dashboard!K1/24,"TBC")</f>
        <v>45948.625</v>
      </c>
      <c r="B110" s="92" t="s">
        <v>9</v>
      </c>
      <c r="C110" s="29"/>
      <c r="D110" s="92" t="str">
        <f>IF(ISBLANK(fixtures!$K76),"",fixtures!$K76)</f>
        <v/>
      </c>
      <c r="E110" s="93" t="str">
        <f>IF(ISBLANK(fixtures!$L76),"",":")</f>
        <v/>
      </c>
      <c r="F110" s="94" t="str">
        <f>IF(ISBLANK(fixtures!$L76),"",fixtures!$L76)</f>
        <v/>
      </c>
      <c r="G110" s="29"/>
      <c r="H110" s="94" t="s">
        <v>11</v>
      </c>
      <c r="I110" s="94" t="s">
        <v>40</v>
      </c>
      <c r="J110" s="29"/>
      <c r="K110" s="29"/>
      <c r="L110" s="29"/>
      <c r="M110" s="29"/>
    </row>
    <row r="111" spans="1:21">
      <c r="A111" s="141">
        <f ca="1">IFERROR(INDIRECT("fixtures!" &amp; Dashboard!J1 &amp;77) - Dashboard!K1/24,"TBC")</f>
        <v>45948.625</v>
      </c>
      <c r="B111" s="92" t="s">
        <v>10</v>
      </c>
      <c r="C111" s="29"/>
      <c r="D111" s="92" t="str">
        <f>IF(ISBLANK(fixtures!$K77),"",fixtures!$K77)</f>
        <v/>
      </c>
      <c r="E111" s="93" t="str">
        <f>IF(ISBLANK(fixtures!$L77),"",":")</f>
        <v/>
      </c>
      <c r="F111" s="94" t="str">
        <f>IF(ISBLANK(fixtures!$L77),"",fixtures!$L77)</f>
        <v/>
      </c>
      <c r="G111" s="29"/>
      <c r="H111" s="94" t="s">
        <v>8</v>
      </c>
      <c r="I111" s="94" t="s">
        <v>50</v>
      </c>
      <c r="J111" s="29"/>
      <c r="K111" s="29"/>
      <c r="L111" s="29"/>
      <c r="M111" s="29"/>
      <c r="N111" s="319"/>
      <c r="O111" s="319"/>
      <c r="P111" s="319"/>
      <c r="Q111" s="319"/>
      <c r="R111" s="319"/>
      <c r="S111" s="319"/>
      <c r="T111" s="319"/>
      <c r="U111" s="319"/>
    </row>
    <row r="112" spans="1:21">
      <c r="A112" s="141">
        <f ca="1">IFERROR(INDIRECT("fixtures!" &amp; Dashboard!J1 &amp;78) - Dashboard!K1/24,"TBC")</f>
        <v>45948.625</v>
      </c>
      <c r="B112" s="92" t="s">
        <v>188</v>
      </c>
      <c r="C112" s="29"/>
      <c r="D112" s="92" t="str">
        <f>IF(ISBLANK(fixtures!$K78),"",fixtures!$K78)</f>
        <v/>
      </c>
      <c r="E112" s="93" t="str">
        <f>IF(ISBLANK(fixtures!$L78),"",":")</f>
        <v/>
      </c>
      <c r="F112" s="94" t="str">
        <f>IF(ISBLANK(fixtures!$L78),"",fixtures!$L78)</f>
        <v/>
      </c>
      <c r="G112" s="29"/>
      <c r="H112" s="94" t="s">
        <v>6</v>
      </c>
      <c r="I112" s="94" t="s">
        <v>158</v>
      </c>
      <c r="J112" s="29"/>
      <c r="K112" s="29"/>
      <c r="L112" s="29"/>
      <c r="M112" s="29"/>
    </row>
    <row r="113" spans="1:21">
      <c r="A113" s="141">
        <f ca="1">IFERROR(INDIRECT("fixtures!" &amp; Dashboard!J1 &amp;79) - Dashboard!K1/24,"TBC")</f>
        <v>45948.625</v>
      </c>
      <c r="B113" s="92" t="s">
        <v>13</v>
      </c>
      <c r="C113" s="29"/>
      <c r="D113" s="92" t="str">
        <f>IF(ISBLANK(fixtures!$K79),"",fixtures!$K79)</f>
        <v/>
      </c>
      <c r="E113" s="93" t="str">
        <f>IF(ISBLANK(fixtures!$L79),"",":")</f>
        <v/>
      </c>
      <c r="F113" s="94" t="str">
        <f>IF(ISBLANK(fixtures!$L79),"",fixtures!$L79)</f>
        <v/>
      </c>
      <c r="G113" s="29"/>
      <c r="H113" s="94" t="s">
        <v>2</v>
      </c>
      <c r="I113" s="94" t="s">
        <v>45</v>
      </c>
      <c r="J113" s="29"/>
      <c r="K113" s="29"/>
      <c r="L113" s="29"/>
      <c r="M113" s="29"/>
    </row>
    <row r="114" spans="1:21">
      <c r="A114" s="141">
        <f ca="1">IFERROR(INDIRECT("fixtures!" &amp; Dashboard!J1 &amp;80) - Dashboard!K1/24,"TBC")</f>
        <v>45948.625</v>
      </c>
      <c r="B114" s="92" t="s">
        <v>443</v>
      </c>
      <c r="C114" s="29"/>
      <c r="D114" s="92" t="str">
        <f>IF(ISBLANK(fixtures!$K80),"",fixtures!$K80)</f>
        <v/>
      </c>
      <c r="E114" s="93" t="str">
        <f>IF(ISBLANK(fixtures!$L80),"",":")</f>
        <v/>
      </c>
      <c r="F114" s="94" t="str">
        <f>IF(ISBLANK(fixtures!$L80),"",fixtures!$L80)</f>
        <v/>
      </c>
      <c r="G114" s="29"/>
      <c r="H114" s="94" t="s">
        <v>15</v>
      </c>
      <c r="I114" s="94" t="s">
        <v>448</v>
      </c>
      <c r="J114" s="29"/>
      <c r="K114" s="29"/>
      <c r="L114" s="29"/>
      <c r="M114" s="29"/>
    </row>
    <row r="115" spans="1:21">
      <c r="A115" s="141">
        <f ca="1">IFERROR(INDIRECT("fixtures!" &amp; Dashboard!J1 &amp;81) - Dashboard!K1/24,"TBC")</f>
        <v>45948.625</v>
      </c>
      <c r="B115" s="92" t="s">
        <v>14</v>
      </c>
      <c r="C115" s="29"/>
      <c r="D115" s="92" t="str">
        <f>IF(ISBLANK(fixtures!$K81),"",fixtures!$K81)</f>
        <v/>
      </c>
      <c r="E115" s="93" t="str">
        <f>IF(ISBLANK(fixtures!$L81),"",":")</f>
        <v/>
      </c>
      <c r="F115" s="94" t="str">
        <f>IF(ISBLANK(fixtures!$L81),"",fixtures!$L81)</f>
        <v/>
      </c>
      <c r="G115" s="29"/>
      <c r="H115" s="94" t="s">
        <v>107</v>
      </c>
      <c r="I115" s="94" t="s">
        <v>42</v>
      </c>
      <c r="J115" s="29"/>
      <c r="K115" s="29"/>
      <c r="L115" s="29"/>
      <c r="M115" s="29"/>
    </row>
    <row r="116" spans="1:21">
      <c r="A116" s="95" t="str">
        <f>Dashboard!D1 &amp; " Time"</f>
        <v>London Time</v>
      </c>
      <c r="B116" s="29"/>
      <c r="C116" s="29"/>
      <c r="D116" s="29"/>
      <c r="E116" s="29"/>
      <c r="F116" s="29"/>
      <c r="G116" s="29"/>
      <c r="H116" s="29"/>
      <c r="I116" s="299" t="s">
        <v>442</v>
      </c>
      <c r="J116" s="29"/>
      <c r="K116" s="29"/>
      <c r="L116" s="29"/>
      <c r="M116" s="29"/>
      <c r="N116" s="319"/>
      <c r="O116" s="319"/>
      <c r="P116" s="319"/>
      <c r="Q116" s="319"/>
      <c r="R116" s="319"/>
      <c r="S116" s="319"/>
      <c r="T116" s="319"/>
      <c r="U116" s="319"/>
    </row>
    <row r="117" spans="1:21" ht="31.5">
      <c r="A117" s="20"/>
      <c r="B117" s="20"/>
      <c r="C117" s="20"/>
      <c r="D117" s="20"/>
      <c r="E117" s="20"/>
      <c r="F117" s="20"/>
      <c r="G117" s="20"/>
      <c r="H117" s="151" t="s">
        <v>60</v>
      </c>
      <c r="I117" s="20"/>
      <c r="J117" s="20"/>
      <c r="K117" s="20"/>
      <c r="L117" s="20"/>
      <c r="M117" s="20"/>
    </row>
    <row r="118" spans="1:21">
      <c r="A118" s="160" t="s">
        <v>570</v>
      </c>
      <c r="B118" s="161"/>
      <c r="C118" s="161"/>
      <c r="D118" s="161"/>
      <c r="E118" s="161"/>
      <c r="F118" s="161"/>
      <c r="G118" s="161"/>
      <c r="H118" s="161"/>
      <c r="I118" s="161"/>
      <c r="J118" s="161"/>
      <c r="K118" s="161"/>
      <c r="L118" s="161"/>
      <c r="M118" s="161"/>
    </row>
    <row r="119" spans="1:21">
      <c r="A119" s="139">
        <f ca="1">IFERROR(INDIRECT("fixtures!" &amp; Dashboard!J1 &amp;82) - Dashboard!K1/24,"TBC")</f>
        <v>45955.625</v>
      </c>
      <c r="B119" s="80" t="s">
        <v>1</v>
      </c>
      <c r="C119" s="21"/>
      <c r="D119" s="80" t="str">
        <f>IF(ISBLANK(fixtures!$K82),"",fixtures!$K82)</f>
        <v/>
      </c>
      <c r="E119" s="81" t="str">
        <f>IF(ISBLANK(fixtures!$L82),"",":")</f>
        <v/>
      </c>
      <c r="F119" s="82" t="str">
        <f>IF(ISBLANK(fixtures!$L82),"",fixtures!$L82)</f>
        <v/>
      </c>
      <c r="G119" s="21"/>
      <c r="H119" s="82" t="s">
        <v>7</v>
      </c>
      <c r="I119" s="82" t="s">
        <v>48</v>
      </c>
      <c r="J119" s="21"/>
      <c r="K119" s="21"/>
      <c r="L119" s="21"/>
      <c r="M119" s="21"/>
    </row>
    <row r="120" spans="1:21">
      <c r="A120" s="139">
        <f ca="1">IFERROR(INDIRECT("fixtures!" &amp; Dashboard!J1 &amp;83) - Dashboard!K1/24,"TBC")</f>
        <v>45955.625</v>
      </c>
      <c r="B120" s="80" t="s">
        <v>2</v>
      </c>
      <c r="C120" s="21"/>
      <c r="D120" s="80" t="str">
        <f>IF(ISBLANK(fixtures!$K83),"",fixtures!$K83)</f>
        <v/>
      </c>
      <c r="E120" s="81" t="str">
        <f>IF(ISBLANK(fixtures!$L83),"",":")</f>
        <v/>
      </c>
      <c r="F120" s="82" t="str">
        <f>IF(ISBLANK(fixtures!$L83),"",fixtures!$L83)</f>
        <v/>
      </c>
      <c r="G120" s="21"/>
      <c r="H120" s="82" t="s">
        <v>10</v>
      </c>
      <c r="I120" s="82" t="s">
        <v>49</v>
      </c>
      <c r="J120" s="21"/>
      <c r="K120" s="21"/>
      <c r="L120" s="21"/>
      <c r="M120" s="21"/>
    </row>
    <row r="121" spans="1:21">
      <c r="A121" s="139">
        <f ca="1">IFERROR(INDIRECT("fixtures!" &amp; Dashboard!J1 &amp;84) - Dashboard!K1/24,"TBC")</f>
        <v>45955.625</v>
      </c>
      <c r="B121" s="80" t="s">
        <v>3</v>
      </c>
      <c r="C121" s="21"/>
      <c r="D121" s="80" t="str">
        <f>IF(ISBLANK(fixtures!$K84),"",fixtures!$K84)</f>
        <v/>
      </c>
      <c r="E121" s="81" t="str">
        <f>IF(ISBLANK(fixtures!$L84),"",":")</f>
        <v/>
      </c>
      <c r="F121" s="82" t="str">
        <f>IF(ISBLANK(fixtures!$L84),"",fixtures!$L84)</f>
        <v/>
      </c>
      <c r="G121" s="21"/>
      <c r="H121" s="82" t="s">
        <v>188</v>
      </c>
      <c r="I121" s="82" t="s">
        <v>43</v>
      </c>
      <c r="J121" s="21"/>
      <c r="K121" s="21"/>
      <c r="L121" s="21"/>
      <c r="M121" s="21"/>
    </row>
    <row r="122" spans="1:21">
      <c r="A122" s="139">
        <f ca="1">IFERROR(INDIRECT("fixtures!" &amp; Dashboard!J1 &amp;85) - Dashboard!K1/24,"TBC")</f>
        <v>45955.625</v>
      </c>
      <c r="B122" s="80" t="s">
        <v>107</v>
      </c>
      <c r="C122" s="21"/>
      <c r="D122" s="80" t="str">
        <f>IF(ISBLANK(fixtures!$K85),"",fixtures!$K85)</f>
        <v/>
      </c>
      <c r="E122" s="81" t="str">
        <f>IF(ISBLANK(fixtures!$L85),"",":")</f>
        <v/>
      </c>
      <c r="F122" s="82" t="str">
        <f>IF(ISBLANK(fixtures!$L85),"",fixtures!$L85)</f>
        <v/>
      </c>
      <c r="G122" s="21"/>
      <c r="H122" s="82" t="s">
        <v>9</v>
      </c>
      <c r="I122" s="82" t="s">
        <v>172</v>
      </c>
      <c r="J122" s="21"/>
      <c r="K122" s="21"/>
      <c r="L122" s="21"/>
      <c r="M122" s="21"/>
    </row>
    <row r="123" spans="1:21">
      <c r="A123" s="139">
        <f ca="1">IFERROR(INDIRECT("fixtures!" &amp; Dashboard!J1 &amp;86) - Dashboard!K1/24,"TBC")</f>
        <v>45955.625</v>
      </c>
      <c r="B123" s="80" t="s">
        <v>6</v>
      </c>
      <c r="C123" s="21"/>
      <c r="D123" s="80" t="str">
        <f>IF(ISBLANK(fixtures!$K86),"",fixtures!$K86)</f>
        <v/>
      </c>
      <c r="E123" s="81" t="str">
        <f>IF(ISBLANK(fixtures!$L86),"",":")</f>
        <v/>
      </c>
      <c r="F123" s="82" t="str">
        <f>IF(ISBLANK(fixtures!$L86),"",fixtures!$L86)</f>
        <v/>
      </c>
      <c r="G123" s="21"/>
      <c r="H123" s="82" t="s">
        <v>443</v>
      </c>
      <c r="I123" s="82" t="s">
        <v>51</v>
      </c>
      <c r="J123" s="21"/>
      <c r="K123" s="21"/>
      <c r="L123" s="21"/>
      <c r="M123" s="21"/>
    </row>
    <row r="124" spans="1:21">
      <c r="A124" s="139">
        <f ca="1">IFERROR(INDIRECT("fixtures!" &amp; Dashboard!J1 &amp;87) - Dashboard!K1/24,"TBC")</f>
        <v>45955.625</v>
      </c>
      <c r="B124" s="80" t="s">
        <v>8</v>
      </c>
      <c r="C124" s="21"/>
      <c r="D124" s="80" t="str">
        <f>IF(ISBLANK(fixtures!$K87),"",fixtures!$K87)</f>
        <v/>
      </c>
      <c r="E124" s="81" t="str">
        <f>IF(ISBLANK(fixtures!$L87),"",":")</f>
        <v/>
      </c>
      <c r="F124" s="82" t="str">
        <f>IF(ISBLANK(fixtures!$L87),"",fixtures!$L87)</f>
        <v/>
      </c>
      <c r="G124" s="21"/>
      <c r="H124" s="82" t="s">
        <v>13</v>
      </c>
      <c r="I124" s="82" t="s">
        <v>452</v>
      </c>
      <c r="J124" s="21"/>
      <c r="K124" s="21"/>
      <c r="L124" s="21"/>
      <c r="M124" s="21"/>
      <c r="N124" s="319"/>
      <c r="O124" s="319"/>
      <c r="P124" s="319"/>
      <c r="Q124" s="319"/>
      <c r="R124" s="319"/>
      <c r="S124" s="319"/>
      <c r="T124" s="319"/>
      <c r="U124" s="319"/>
    </row>
    <row r="125" spans="1:21">
      <c r="A125" s="139">
        <f ca="1">IFERROR(INDIRECT("fixtures!" &amp; Dashboard!J1 &amp;88) - Dashboard!K1/24,"TBC")</f>
        <v>45955.625</v>
      </c>
      <c r="B125" s="80" t="s">
        <v>444</v>
      </c>
      <c r="C125" s="21"/>
      <c r="D125" s="80" t="str">
        <f>IF(ISBLANK(fixtures!$K88),"",fixtures!$K88)</f>
        <v/>
      </c>
      <c r="E125" s="81" t="str">
        <f>IF(ISBLANK(fixtures!$L88),"",":")</f>
        <v/>
      </c>
      <c r="F125" s="82" t="str">
        <f>IF(ISBLANK(fixtures!$L88),"",fixtures!$L88)</f>
        <v/>
      </c>
      <c r="G125" s="21"/>
      <c r="H125" s="82" t="s">
        <v>14</v>
      </c>
      <c r="I125" s="82" t="s">
        <v>449</v>
      </c>
      <c r="J125" s="21"/>
      <c r="K125" s="21"/>
      <c r="L125" s="21"/>
      <c r="M125" s="21"/>
    </row>
    <row r="126" spans="1:21">
      <c r="A126" s="139">
        <f ca="1">IFERROR(INDIRECT("fixtures!" &amp; Dashboard!J1 &amp;89) - Dashboard!K1/24,"TBC")</f>
        <v>45955.625</v>
      </c>
      <c r="B126" s="80" t="s">
        <v>11</v>
      </c>
      <c r="C126" s="21"/>
      <c r="D126" s="80" t="str">
        <f>IF(ISBLANK(fixtures!$K89),"",fixtures!$K89)</f>
        <v/>
      </c>
      <c r="E126" s="81" t="str">
        <f>IF(ISBLANK(fixtures!$L89),"",":")</f>
        <v/>
      </c>
      <c r="F126" s="82" t="str">
        <f>IF(ISBLANK(fixtures!$L89),"",fixtures!$L89)</f>
        <v/>
      </c>
      <c r="G126" s="21"/>
      <c r="H126" s="82" t="s">
        <v>4</v>
      </c>
      <c r="I126" s="82" t="s">
        <v>47</v>
      </c>
      <c r="J126" s="21"/>
      <c r="K126" s="21"/>
      <c r="L126" s="21"/>
      <c r="M126" s="21"/>
    </row>
    <row r="127" spans="1:21">
      <c r="A127" s="139">
        <f ca="1">IFERROR(INDIRECT("fixtures!" &amp; Dashboard!J1 &amp;90) - Dashboard!K1/24,"TBC")</f>
        <v>45955.625</v>
      </c>
      <c r="B127" s="80" t="s">
        <v>12</v>
      </c>
      <c r="C127" s="21"/>
      <c r="D127" s="80" t="str">
        <f>IF(ISBLANK(fixtures!$K90),"",fixtures!$K90)</f>
        <v/>
      </c>
      <c r="E127" s="81" t="str">
        <f>IF(ISBLANK(fixtures!$L90),"",":")</f>
        <v/>
      </c>
      <c r="F127" s="82" t="str">
        <f>IF(ISBLANK(fixtures!$L90),"",fixtures!$L90)</f>
        <v/>
      </c>
      <c r="G127" s="21"/>
      <c r="H127" s="82" t="s">
        <v>108</v>
      </c>
      <c r="I127" s="82" t="s">
        <v>46</v>
      </c>
      <c r="J127" s="21"/>
      <c r="K127" s="21"/>
      <c r="L127" s="21"/>
      <c r="M127" s="21"/>
      <c r="N127" s="319"/>
      <c r="O127" s="319"/>
      <c r="P127" s="319"/>
      <c r="Q127" s="319"/>
      <c r="R127" s="319"/>
      <c r="S127" s="319"/>
      <c r="T127" s="319"/>
      <c r="U127" s="319"/>
    </row>
    <row r="128" spans="1:21">
      <c r="A128" s="139">
        <f ca="1">IFERROR(INDIRECT("fixtures!" &amp; Dashboard!J1 &amp;91) - Dashboard!K1/24,"TBC")</f>
        <v>45955.625</v>
      </c>
      <c r="B128" s="80" t="s">
        <v>15</v>
      </c>
      <c r="C128" s="21"/>
      <c r="D128" s="80" t="str">
        <f>IF(ISBLANK(fixtures!$K91),"",fixtures!$K91)</f>
        <v/>
      </c>
      <c r="E128" s="81" t="str">
        <f>IF(ISBLANK(fixtures!$L91),"",":")</f>
        <v/>
      </c>
      <c r="F128" s="82" t="str">
        <f>IF(ISBLANK(fixtures!$L91),"",fixtures!$L91)</f>
        <v/>
      </c>
      <c r="G128" s="21"/>
      <c r="H128" s="82" t="s">
        <v>5</v>
      </c>
      <c r="I128" s="82" t="s">
        <v>52</v>
      </c>
      <c r="J128" s="21"/>
      <c r="K128" s="21"/>
      <c r="L128" s="21"/>
      <c r="M128" s="21"/>
    </row>
    <row r="129" spans="1:21">
      <c r="A129" s="83" t="str">
        <f>Dashboard!D1 &amp; " Time"</f>
        <v>London Time</v>
      </c>
      <c r="B129" s="21"/>
      <c r="C129" s="21"/>
      <c r="D129" s="21"/>
      <c r="E129" s="21"/>
      <c r="F129" s="21"/>
      <c r="G129" s="21"/>
      <c r="H129" s="21"/>
      <c r="I129" s="298" t="s">
        <v>442</v>
      </c>
      <c r="J129" s="21"/>
      <c r="K129" s="21"/>
      <c r="L129" s="21"/>
      <c r="M129" s="21"/>
    </row>
    <row r="130" spans="1:21" ht="31.5">
      <c r="A130" s="30"/>
      <c r="B130" s="30"/>
      <c r="C130" s="30"/>
      <c r="D130" s="30"/>
      <c r="E130" s="30"/>
      <c r="F130" s="30"/>
      <c r="G130" s="30"/>
      <c r="H130" s="96" t="s">
        <v>61</v>
      </c>
      <c r="I130" s="30"/>
      <c r="J130" s="30"/>
      <c r="K130" s="30"/>
      <c r="L130" s="30"/>
      <c r="M130" s="30"/>
    </row>
    <row r="131" spans="1:21">
      <c r="A131" s="166" t="s">
        <v>571</v>
      </c>
      <c r="B131" s="167"/>
      <c r="C131" s="167"/>
      <c r="D131" s="167"/>
      <c r="E131" s="167"/>
      <c r="F131" s="167"/>
      <c r="G131" s="167"/>
      <c r="H131" s="167"/>
      <c r="I131" s="167"/>
      <c r="J131" s="167"/>
      <c r="K131" s="167"/>
      <c r="L131" s="167"/>
      <c r="M131" s="167"/>
      <c r="N131" s="319"/>
      <c r="O131" s="319"/>
      <c r="P131" s="319"/>
      <c r="Q131" s="319"/>
      <c r="R131" s="319"/>
      <c r="S131" s="319"/>
      <c r="T131" s="319"/>
      <c r="U131" s="319"/>
    </row>
    <row r="132" spans="1:21">
      <c r="A132" s="142">
        <f ca="1">IFERROR(INDIRECT("fixtures!" &amp; Dashboard!J1 &amp;92) - Dashboard!K1/24,"TBC")</f>
        <v>45962.625</v>
      </c>
      <c r="B132" s="97" t="s">
        <v>4</v>
      </c>
      <c r="C132" s="31"/>
      <c r="D132" s="97" t="str">
        <f>IF(ISBLANK(fixtures!$K92),"",fixtures!$K92)</f>
        <v/>
      </c>
      <c r="E132" s="98" t="str">
        <f>IF(ISBLANK(fixtures!$L92),"",":")</f>
        <v/>
      </c>
      <c r="F132" s="99" t="str">
        <f>IF(ISBLANK(fixtures!$L92),"",fixtures!$L92)</f>
        <v/>
      </c>
      <c r="G132" s="31"/>
      <c r="H132" s="99" t="s">
        <v>444</v>
      </c>
      <c r="I132" s="99" t="s">
        <v>217</v>
      </c>
      <c r="J132" s="31"/>
      <c r="K132" s="31"/>
      <c r="L132" s="31"/>
      <c r="M132" s="31"/>
    </row>
    <row r="133" spans="1:21">
      <c r="A133" s="142">
        <f ca="1">IFERROR(INDIRECT("fixtures!" &amp; Dashboard!J1 &amp;93) - Dashboard!K1/24,"TBC")</f>
        <v>45962.625</v>
      </c>
      <c r="B133" s="97" t="s">
        <v>5</v>
      </c>
      <c r="C133" s="31"/>
      <c r="D133" s="97" t="str">
        <f>IF(ISBLANK(fixtures!$K93),"",fixtures!$K93)</f>
        <v/>
      </c>
      <c r="E133" s="98" t="str">
        <f>IF(ISBLANK(fixtures!$L93),"",":")</f>
        <v/>
      </c>
      <c r="F133" s="99" t="str">
        <f>IF(ISBLANK(fixtures!$L93),"",fixtures!$L93)</f>
        <v/>
      </c>
      <c r="G133" s="31"/>
      <c r="H133" s="99" t="s">
        <v>1</v>
      </c>
      <c r="I133" s="99" t="s">
        <v>451</v>
      </c>
      <c r="J133" s="31"/>
      <c r="K133" s="31"/>
      <c r="L133" s="31"/>
      <c r="M133" s="31"/>
    </row>
    <row r="134" spans="1:21">
      <c r="A134" s="142">
        <f ca="1">IFERROR(INDIRECT("fixtures!" &amp; Dashboard!J1 &amp;94) - Dashboard!K1/24,"TBC")</f>
        <v>45962.625</v>
      </c>
      <c r="B134" s="97" t="s">
        <v>7</v>
      </c>
      <c r="C134" s="31"/>
      <c r="D134" s="97" t="str">
        <f>IF(ISBLANK(fixtures!$K94),"",fixtures!$K94)</f>
        <v/>
      </c>
      <c r="E134" s="98" t="str">
        <f>IF(ISBLANK(fixtures!$L94),"",":")</f>
        <v/>
      </c>
      <c r="F134" s="99" t="str">
        <f>IF(ISBLANK(fixtures!$L94),"",fixtures!$L94)</f>
        <v/>
      </c>
      <c r="G134" s="31"/>
      <c r="H134" s="99" t="s">
        <v>107</v>
      </c>
      <c r="I134" s="99" t="s">
        <v>44</v>
      </c>
      <c r="J134" s="31"/>
      <c r="K134" s="31"/>
      <c r="L134" s="31"/>
      <c r="M134" s="31"/>
    </row>
    <row r="135" spans="1:21">
      <c r="A135" s="142">
        <f ca="1">IFERROR(INDIRECT("fixtures!" &amp; Dashboard!J1 &amp;95) - Dashboard!K1/24,"TBC")</f>
        <v>45962.625</v>
      </c>
      <c r="B135" s="97" t="s">
        <v>108</v>
      </c>
      <c r="C135" s="31"/>
      <c r="D135" s="97" t="str">
        <f>IF(ISBLANK(fixtures!$K95),"",fixtures!$K95)</f>
        <v/>
      </c>
      <c r="E135" s="98" t="str">
        <f>IF(ISBLANK(fixtures!$L95),"",":")</f>
        <v/>
      </c>
      <c r="F135" s="99" t="str">
        <f>IF(ISBLANK(fixtures!$L95),"",fixtures!$L95)</f>
        <v/>
      </c>
      <c r="G135" s="31"/>
      <c r="H135" s="99" t="s">
        <v>15</v>
      </c>
      <c r="I135" s="99" t="s">
        <v>157</v>
      </c>
      <c r="J135" s="31"/>
      <c r="K135" s="31"/>
      <c r="L135" s="31"/>
      <c r="M135" s="31"/>
    </row>
    <row r="136" spans="1:21">
      <c r="A136" s="142">
        <f ca="1">IFERROR(INDIRECT("fixtures!" &amp; Dashboard!J1 &amp;96) - Dashboard!K1/24,"TBC")</f>
        <v>45962.625</v>
      </c>
      <c r="B136" s="97" t="s">
        <v>9</v>
      </c>
      <c r="C136" s="31"/>
      <c r="D136" s="97" t="str">
        <f>IF(ISBLANK(fixtures!$K96),"",fixtures!$K96)</f>
        <v/>
      </c>
      <c r="E136" s="98" t="str">
        <f>IF(ISBLANK(fixtures!$L96),"",":")</f>
        <v/>
      </c>
      <c r="F136" s="99" t="str">
        <f>IF(ISBLANK(fixtures!$L96),"",fixtures!$L96)</f>
        <v/>
      </c>
      <c r="G136" s="31"/>
      <c r="H136" s="99" t="s">
        <v>2</v>
      </c>
      <c r="I136" s="99" t="s">
        <v>40</v>
      </c>
      <c r="J136" s="31"/>
      <c r="K136" s="31"/>
      <c r="L136" s="31"/>
      <c r="M136" s="31"/>
    </row>
    <row r="137" spans="1:21">
      <c r="A137" s="142">
        <f ca="1">IFERROR(INDIRECT("fixtures!" &amp; Dashboard!J1 &amp;97) - Dashboard!K1/24,"TBC")</f>
        <v>45962.625</v>
      </c>
      <c r="B137" s="97" t="s">
        <v>10</v>
      </c>
      <c r="C137" s="31"/>
      <c r="D137" s="97" t="str">
        <f>IF(ISBLANK(fixtures!$K97),"",fixtures!$K97)</f>
        <v/>
      </c>
      <c r="E137" s="98" t="str">
        <f>IF(ISBLANK(fixtures!$L97),"",":")</f>
        <v/>
      </c>
      <c r="F137" s="99" t="str">
        <f>IF(ISBLANK(fixtures!$L97),"",fixtures!$L97)</f>
        <v/>
      </c>
      <c r="G137" s="31"/>
      <c r="H137" s="99" t="s">
        <v>3</v>
      </c>
      <c r="I137" s="99" t="s">
        <v>50</v>
      </c>
      <c r="J137" s="31"/>
      <c r="K137" s="31"/>
      <c r="L137" s="31"/>
      <c r="M137" s="31"/>
      <c r="N137" s="319"/>
      <c r="O137" s="319"/>
      <c r="P137" s="319"/>
      <c r="Q137" s="319"/>
      <c r="R137" s="319"/>
      <c r="S137" s="319"/>
      <c r="T137" s="319"/>
      <c r="U137" s="319"/>
    </row>
    <row r="138" spans="1:21">
      <c r="A138" s="142">
        <f ca="1">IFERROR(INDIRECT("fixtures!" &amp; Dashboard!J1 &amp;98) - Dashboard!K1/24,"TBC")</f>
        <v>45962.625</v>
      </c>
      <c r="B138" s="97" t="s">
        <v>188</v>
      </c>
      <c r="C138" s="31"/>
      <c r="D138" s="97" t="str">
        <f>IF(ISBLANK(fixtures!$K98),"",fixtures!$K98)</f>
        <v/>
      </c>
      <c r="E138" s="98" t="str">
        <f>IF(ISBLANK(fixtures!$L98),"",":")</f>
        <v/>
      </c>
      <c r="F138" s="99" t="str">
        <f>IF(ISBLANK(fixtures!$L98),"",fixtures!$L98)</f>
        <v/>
      </c>
      <c r="G138" s="31"/>
      <c r="H138" s="99" t="s">
        <v>11</v>
      </c>
      <c r="I138" s="99" t="s">
        <v>158</v>
      </c>
      <c r="J138" s="31"/>
      <c r="K138" s="31"/>
      <c r="L138" s="31"/>
      <c r="M138" s="31"/>
    </row>
    <row r="139" spans="1:21">
      <c r="A139" s="142">
        <f ca="1">IFERROR(INDIRECT("fixtures!" &amp; Dashboard!J1 &amp;99) - Dashboard!K1/24,"TBC")</f>
        <v>45962.625</v>
      </c>
      <c r="B139" s="97" t="s">
        <v>13</v>
      </c>
      <c r="C139" s="31"/>
      <c r="D139" s="97" t="str">
        <f>IF(ISBLANK(fixtures!$K99),"",fixtures!$K99)</f>
        <v/>
      </c>
      <c r="E139" s="98" t="str">
        <f>IF(ISBLANK(fixtures!$L99),"",":")</f>
        <v/>
      </c>
      <c r="F139" s="99" t="str">
        <f>IF(ISBLANK(fixtures!$L99),"",fixtures!$L99)</f>
        <v/>
      </c>
      <c r="G139" s="31"/>
      <c r="H139" s="99" t="s">
        <v>6</v>
      </c>
      <c r="I139" s="99" t="s">
        <v>45</v>
      </c>
      <c r="J139" s="31"/>
      <c r="K139" s="31"/>
      <c r="L139" s="31"/>
      <c r="M139" s="31"/>
    </row>
    <row r="140" spans="1:21">
      <c r="A140" s="142">
        <f ca="1">IFERROR(INDIRECT("fixtures!" &amp; Dashboard!J1 &amp;100) - Dashboard!K1/24,"TBC")</f>
        <v>45962.625</v>
      </c>
      <c r="B140" s="97" t="s">
        <v>443</v>
      </c>
      <c r="C140" s="31"/>
      <c r="D140" s="97" t="str">
        <f>IF(ISBLANK(fixtures!$K100),"",fixtures!$K100)</f>
        <v/>
      </c>
      <c r="E140" s="98" t="str">
        <f>IF(ISBLANK(fixtures!$L100),"",":")</f>
        <v/>
      </c>
      <c r="F140" s="99" t="str">
        <f>IF(ISBLANK(fixtures!$L100),"",fixtures!$L100)</f>
        <v/>
      </c>
      <c r="G140" s="31"/>
      <c r="H140" s="99" t="s">
        <v>8</v>
      </c>
      <c r="I140" s="99" t="s">
        <v>448</v>
      </c>
      <c r="J140" s="31"/>
      <c r="K140" s="31"/>
      <c r="L140" s="31"/>
      <c r="M140" s="31"/>
    </row>
    <row r="141" spans="1:21">
      <c r="A141" s="142">
        <f ca="1">IFERROR(INDIRECT("fixtures!" &amp; Dashboard!J1 &amp;101) - Dashboard!K1/24,"TBC")</f>
        <v>45962.625</v>
      </c>
      <c r="B141" s="97" t="s">
        <v>14</v>
      </c>
      <c r="C141" s="31"/>
      <c r="D141" s="97" t="str">
        <f>IF(ISBLANK(fixtures!$K101),"",fixtures!$K101)</f>
        <v/>
      </c>
      <c r="E141" s="98" t="str">
        <f>IF(ISBLANK(fixtures!$L101),"",":")</f>
        <v/>
      </c>
      <c r="F141" s="99" t="str">
        <f>IF(ISBLANK(fixtures!$L101),"",fixtures!$L101)</f>
        <v/>
      </c>
      <c r="G141" s="31"/>
      <c r="H141" s="99" t="s">
        <v>12</v>
      </c>
      <c r="I141" s="99" t="s">
        <v>42</v>
      </c>
      <c r="J141" s="31"/>
      <c r="K141" s="31"/>
      <c r="L141" s="31"/>
      <c r="M141" s="31"/>
    </row>
    <row r="142" spans="1:21">
      <c r="A142" s="100" t="str">
        <f>Dashboard!D1 &amp; " Time"</f>
        <v>London Time</v>
      </c>
      <c r="B142" s="31"/>
      <c r="C142" s="31"/>
      <c r="D142" s="31"/>
      <c r="E142" s="31"/>
      <c r="F142" s="31"/>
      <c r="G142" s="31"/>
      <c r="H142" s="31"/>
      <c r="I142" s="300" t="s">
        <v>442</v>
      </c>
      <c r="J142" s="31"/>
      <c r="K142" s="31"/>
      <c r="L142" s="31"/>
      <c r="M142" s="31"/>
      <c r="N142" s="319"/>
      <c r="O142" s="319"/>
      <c r="P142" s="319"/>
      <c r="Q142" s="319"/>
      <c r="R142" s="319"/>
      <c r="S142" s="319"/>
      <c r="T142" s="319"/>
      <c r="U142" s="319"/>
    </row>
    <row r="143" spans="1:21" ht="31.5">
      <c r="A143" s="5"/>
      <c r="B143" s="5"/>
      <c r="C143" s="5"/>
      <c r="D143" s="5"/>
      <c r="E143" s="5"/>
      <c r="F143" s="5"/>
      <c r="G143" s="5"/>
      <c r="H143" s="65" t="s">
        <v>62</v>
      </c>
      <c r="I143" s="5"/>
      <c r="J143" s="5"/>
      <c r="K143" s="5"/>
      <c r="L143" s="5"/>
      <c r="M143" s="5"/>
    </row>
    <row r="144" spans="1:21">
      <c r="A144" s="152" t="s">
        <v>572</v>
      </c>
      <c r="B144" s="153"/>
      <c r="C144" s="153"/>
      <c r="D144" s="153"/>
      <c r="E144" s="153"/>
      <c r="F144" s="153"/>
      <c r="G144" s="153"/>
      <c r="H144" s="153"/>
      <c r="I144" s="153"/>
      <c r="J144" s="153"/>
      <c r="K144" s="153"/>
      <c r="L144" s="153"/>
      <c r="M144" s="153"/>
    </row>
    <row r="145" spans="1:21">
      <c r="A145" s="136">
        <f ca="1">IFERROR(INDIRECT("fixtures!" &amp; Dashboard!J1 &amp;102) - Dashboard!K1/24,"TBC")</f>
        <v>45969.625</v>
      </c>
      <c r="B145" s="66" t="s">
        <v>2</v>
      </c>
      <c r="C145" s="6"/>
      <c r="D145" s="66" t="str">
        <f>IF(ISBLANK(fixtures!$K102),"",fixtures!$K102)</f>
        <v/>
      </c>
      <c r="E145" s="67" t="str">
        <f>IF(ISBLANK(fixtures!$L102),"",":")</f>
        <v/>
      </c>
      <c r="F145" s="68" t="str">
        <f>IF(ISBLANK(fixtures!$L102),"",fixtures!$L102)</f>
        <v/>
      </c>
      <c r="G145" s="6"/>
      <c r="H145" s="68" t="s">
        <v>3</v>
      </c>
      <c r="I145" s="68" t="s">
        <v>49</v>
      </c>
      <c r="J145" s="6"/>
      <c r="K145" s="6"/>
      <c r="L145" s="6"/>
      <c r="M145" s="6"/>
    </row>
    <row r="146" spans="1:21">
      <c r="A146" s="136">
        <f ca="1">IFERROR(INDIRECT("fixtures!" &amp; Dashboard!J1 &amp;103) - Dashboard!K1/24,"TBC")</f>
        <v>45969.625</v>
      </c>
      <c r="B146" s="66" t="s">
        <v>107</v>
      </c>
      <c r="C146" s="6"/>
      <c r="D146" s="66" t="str">
        <f>IF(ISBLANK(fixtures!$K103),"",fixtures!$K103)</f>
        <v/>
      </c>
      <c r="E146" s="67" t="str">
        <f>IF(ISBLANK(fixtures!$L103),"",":")</f>
        <v/>
      </c>
      <c r="F146" s="68" t="str">
        <f>IF(ISBLANK(fixtures!$L103),"",fixtures!$L103)</f>
        <v/>
      </c>
      <c r="G146" s="6"/>
      <c r="H146" s="68" t="s">
        <v>12</v>
      </c>
      <c r="I146" s="68" t="s">
        <v>172</v>
      </c>
      <c r="J146" s="6"/>
      <c r="K146" s="6"/>
      <c r="L146" s="6"/>
      <c r="M146" s="6"/>
      <c r="N146" s="319"/>
      <c r="O146" s="319"/>
      <c r="P146" s="319"/>
      <c r="Q146" s="319"/>
      <c r="R146" s="319"/>
      <c r="S146" s="319"/>
      <c r="T146" s="319"/>
      <c r="U146" s="319"/>
    </row>
    <row r="147" spans="1:21">
      <c r="A147" s="136">
        <f ca="1">IFERROR(INDIRECT("fixtures!" &amp; Dashboard!J1 &amp;104) - Dashboard!K1/24,"TBC")</f>
        <v>45969.625</v>
      </c>
      <c r="B147" s="66" t="s">
        <v>6</v>
      </c>
      <c r="C147" s="6"/>
      <c r="D147" s="66" t="str">
        <f>IF(ISBLANK(fixtures!$K104),"",fixtures!$K104)</f>
        <v/>
      </c>
      <c r="E147" s="67" t="str">
        <f>IF(ISBLANK(fixtures!$L104),"",":")</f>
        <v/>
      </c>
      <c r="F147" s="68" t="str">
        <f>IF(ISBLANK(fixtures!$L104),"",fixtures!$L104)</f>
        <v/>
      </c>
      <c r="G147" s="6"/>
      <c r="H147" s="68" t="s">
        <v>15</v>
      </c>
      <c r="I147" s="68" t="s">
        <v>51</v>
      </c>
      <c r="J147" s="6"/>
      <c r="K147" s="6"/>
      <c r="L147" s="6"/>
      <c r="M147" s="6"/>
    </row>
    <row r="148" spans="1:21">
      <c r="A148" s="136">
        <f ca="1">IFERROR(INDIRECT("fixtures!" &amp; Dashboard!J1 &amp;105) - Dashboard!K1/24,"TBC")</f>
        <v>45969.625</v>
      </c>
      <c r="B148" s="66" t="s">
        <v>7</v>
      </c>
      <c r="C148" s="6"/>
      <c r="D148" s="66" t="str">
        <f>IF(ISBLANK(fixtures!$K105),"",fixtures!$K105)</f>
        <v/>
      </c>
      <c r="E148" s="67" t="str">
        <f>IF(ISBLANK(fixtures!$L105),"",":")</f>
        <v/>
      </c>
      <c r="F148" s="68" t="str">
        <f>IF(ISBLANK(fixtures!$L105),"",fixtures!$L105)</f>
        <v/>
      </c>
      <c r="G148" s="6"/>
      <c r="H148" s="68" t="s">
        <v>4</v>
      </c>
      <c r="I148" s="68" t="s">
        <v>44</v>
      </c>
      <c r="J148" s="6"/>
      <c r="K148" s="6"/>
      <c r="L148" s="6"/>
      <c r="M148" s="6"/>
      <c r="N148" s="319"/>
      <c r="O148" s="319"/>
      <c r="P148" s="319"/>
      <c r="Q148" s="319"/>
      <c r="R148" s="319"/>
      <c r="S148" s="319"/>
      <c r="T148" s="319"/>
      <c r="U148" s="319"/>
    </row>
    <row r="149" spans="1:21">
      <c r="A149" s="136">
        <f ca="1">IFERROR(INDIRECT("fixtures!" &amp; Dashboard!J1 &amp;106) - Dashboard!K1/24,"TBC")</f>
        <v>45969.625</v>
      </c>
      <c r="B149" s="66" t="s">
        <v>8</v>
      </c>
      <c r="C149" s="6"/>
      <c r="D149" s="66" t="str">
        <f>IF(ISBLANK(fixtures!$K106),"",fixtures!$K106)</f>
        <v/>
      </c>
      <c r="E149" s="67" t="str">
        <f>IF(ISBLANK(fixtures!$L106),"",":")</f>
        <v/>
      </c>
      <c r="F149" s="68" t="str">
        <f>IF(ISBLANK(fixtures!$L106),"",fixtures!$L106)</f>
        <v/>
      </c>
      <c r="G149" s="6"/>
      <c r="H149" s="68" t="s">
        <v>108</v>
      </c>
      <c r="I149" s="68" t="s">
        <v>452</v>
      </c>
      <c r="J149" s="6"/>
      <c r="K149" s="6"/>
      <c r="L149" s="6"/>
      <c r="M149" s="6"/>
    </row>
    <row r="150" spans="1:21">
      <c r="A150" s="136">
        <f ca="1">IFERROR(INDIRECT("fixtures!" &amp; Dashboard!J1 &amp;107) - Dashboard!K1/24,"TBC")</f>
        <v>45969.625</v>
      </c>
      <c r="B150" s="66" t="s">
        <v>10</v>
      </c>
      <c r="C150" s="6"/>
      <c r="D150" s="66" t="str">
        <f>IF(ISBLANK(fixtures!$K107),"",fixtures!$K107)</f>
        <v/>
      </c>
      <c r="E150" s="67" t="str">
        <f>IF(ISBLANK(fixtures!$L107),"",":")</f>
        <v/>
      </c>
      <c r="F150" s="68" t="str">
        <f>IF(ISBLANK(fixtures!$L107),"",fixtures!$L107)</f>
        <v/>
      </c>
      <c r="G150" s="6"/>
      <c r="H150" s="68" t="s">
        <v>9</v>
      </c>
      <c r="I150" s="68" t="s">
        <v>50</v>
      </c>
      <c r="J150" s="6"/>
      <c r="K150" s="6"/>
      <c r="L150" s="6"/>
      <c r="M150" s="6"/>
    </row>
    <row r="151" spans="1:21">
      <c r="A151" s="136">
        <f ca="1">IFERROR(INDIRECT("fixtures!" &amp; Dashboard!J1 &amp;108) - Dashboard!K1/24,"TBC")</f>
        <v>45969.625</v>
      </c>
      <c r="B151" s="66" t="s">
        <v>188</v>
      </c>
      <c r="C151" s="6"/>
      <c r="D151" s="66" t="str">
        <f>IF(ISBLANK(fixtures!$K108),"",fixtures!$K108)</f>
        <v/>
      </c>
      <c r="E151" s="67" t="str">
        <f>IF(ISBLANK(fixtures!$L108),"",":")</f>
        <v/>
      </c>
      <c r="F151" s="68" t="str">
        <f>IF(ISBLANK(fixtures!$L108),"",fixtures!$L108)</f>
        <v/>
      </c>
      <c r="G151" s="6"/>
      <c r="H151" s="68" t="s">
        <v>444</v>
      </c>
      <c r="I151" s="68" t="s">
        <v>158</v>
      </c>
      <c r="J151" s="6"/>
      <c r="K151" s="6"/>
      <c r="L151" s="6"/>
      <c r="M151" s="6"/>
    </row>
    <row r="152" spans="1:21">
      <c r="A152" s="136">
        <f ca="1">IFERROR(INDIRECT("fixtures!" &amp; Dashboard!J1 &amp;109) - Dashboard!K1/24,"TBC")</f>
        <v>45969.625</v>
      </c>
      <c r="B152" s="66" t="s">
        <v>13</v>
      </c>
      <c r="C152" s="6"/>
      <c r="D152" s="66" t="str">
        <f>IF(ISBLANK(fixtures!$K109),"",fixtures!$K109)</f>
        <v/>
      </c>
      <c r="E152" s="67" t="str">
        <f>IF(ISBLANK(fixtures!$L109),"",":")</f>
        <v/>
      </c>
      <c r="F152" s="68" t="str">
        <f>IF(ISBLANK(fixtures!$L109),"",fixtures!$L109)</f>
        <v/>
      </c>
      <c r="G152" s="6"/>
      <c r="H152" s="68" t="s">
        <v>11</v>
      </c>
      <c r="I152" s="68" t="s">
        <v>45</v>
      </c>
      <c r="J152" s="6"/>
      <c r="K152" s="6"/>
      <c r="L152" s="6"/>
      <c r="M152" s="6"/>
    </row>
    <row r="153" spans="1:21">
      <c r="A153" s="136">
        <f ca="1">IFERROR(INDIRECT("fixtures!" &amp; Dashboard!J1 &amp;110) - Dashboard!K1/24,"TBC")</f>
        <v>45969.625</v>
      </c>
      <c r="B153" s="66" t="s">
        <v>443</v>
      </c>
      <c r="C153" s="6"/>
      <c r="D153" s="66" t="str">
        <f>IF(ISBLANK(fixtures!$K110),"",fixtures!$K110)</f>
        <v/>
      </c>
      <c r="E153" s="67" t="str">
        <f>IF(ISBLANK(fixtures!$L110),"",":")</f>
        <v/>
      </c>
      <c r="F153" s="68" t="str">
        <f>IF(ISBLANK(fixtures!$L110),"",fixtures!$L110)</f>
        <v/>
      </c>
      <c r="G153" s="6"/>
      <c r="H153" s="68" t="s">
        <v>1</v>
      </c>
      <c r="I153" s="68" t="s">
        <v>448</v>
      </c>
      <c r="J153" s="6"/>
      <c r="K153" s="6"/>
      <c r="L153" s="6"/>
      <c r="M153" s="6"/>
      <c r="N153" s="319"/>
      <c r="O153" s="319"/>
      <c r="P153" s="319"/>
      <c r="Q153" s="319"/>
      <c r="R153" s="319"/>
      <c r="S153" s="319"/>
      <c r="T153" s="319"/>
      <c r="U153" s="319"/>
    </row>
    <row r="154" spans="1:21">
      <c r="A154" s="136">
        <f ca="1">IFERROR(INDIRECT("fixtures!" &amp; Dashboard!J1 &amp;111) - Dashboard!K1/24,"TBC")</f>
        <v>45969.625</v>
      </c>
      <c r="B154" s="66" t="s">
        <v>14</v>
      </c>
      <c r="C154" s="6"/>
      <c r="D154" s="66" t="str">
        <f>IF(ISBLANK(fixtures!$K111),"",fixtures!$K111)</f>
        <v/>
      </c>
      <c r="E154" s="67" t="str">
        <f>IF(ISBLANK(fixtures!$L111),"",":")</f>
        <v/>
      </c>
      <c r="F154" s="68" t="str">
        <f>IF(ISBLANK(fixtures!$L111),"",fixtures!$L111)</f>
        <v/>
      </c>
      <c r="G154" s="6"/>
      <c r="H154" s="68" t="s">
        <v>5</v>
      </c>
      <c r="I154" s="68" t="s">
        <v>42</v>
      </c>
      <c r="J154" s="6"/>
      <c r="K154" s="6"/>
      <c r="L154" s="6"/>
      <c r="M154" s="6"/>
    </row>
    <row r="155" spans="1:21">
      <c r="A155" s="69" t="str">
        <f>Dashboard!D1 &amp; " Time"</f>
        <v>London Time</v>
      </c>
      <c r="B155" s="6"/>
      <c r="C155" s="6"/>
      <c r="D155" s="6"/>
      <c r="E155" s="6"/>
      <c r="F155" s="6"/>
      <c r="G155" s="6"/>
      <c r="H155" s="6"/>
      <c r="I155" s="292" t="s">
        <v>442</v>
      </c>
      <c r="J155" s="6"/>
      <c r="K155" s="6"/>
      <c r="L155" s="6"/>
      <c r="M155" s="6"/>
    </row>
    <row r="156" spans="1:21" ht="31.5">
      <c r="A156" s="8"/>
      <c r="B156" s="8"/>
      <c r="C156" s="8"/>
      <c r="D156" s="8"/>
      <c r="E156" s="8"/>
      <c r="F156" s="8"/>
      <c r="G156" s="8"/>
      <c r="H156" s="70" t="s">
        <v>63</v>
      </c>
      <c r="I156" s="8"/>
      <c r="J156" s="8"/>
      <c r="K156" s="8"/>
      <c r="L156" s="8"/>
      <c r="M156" s="8"/>
    </row>
    <row r="157" spans="1:21">
      <c r="A157" s="154" t="s">
        <v>573</v>
      </c>
      <c r="B157" s="155"/>
      <c r="C157" s="155"/>
      <c r="D157" s="155"/>
      <c r="E157" s="155"/>
      <c r="F157" s="155"/>
      <c r="G157" s="155"/>
      <c r="H157" s="155"/>
      <c r="I157" s="155"/>
      <c r="J157" s="155"/>
      <c r="K157" s="155"/>
      <c r="L157" s="155"/>
      <c r="M157" s="155"/>
    </row>
    <row r="158" spans="1:21">
      <c r="A158" s="137">
        <f ca="1">IFERROR(INDIRECT("fixtures!" &amp; Dashboard!J1 &amp;112) - Dashboard!K1/24,"TBC")</f>
        <v>45983.625</v>
      </c>
      <c r="B158" s="71" t="s">
        <v>1</v>
      </c>
      <c r="C158" s="9"/>
      <c r="D158" s="71" t="str">
        <f>IF(ISBLANK(fixtures!$K112),"",fixtures!$K112)</f>
        <v/>
      </c>
      <c r="E158" s="72" t="str">
        <f>IF(ISBLANK(fixtures!$L112),"",":")</f>
        <v/>
      </c>
      <c r="F158" s="73" t="str">
        <f>IF(ISBLANK(fixtures!$L112),"",fixtures!$L112)</f>
        <v/>
      </c>
      <c r="G158" s="9"/>
      <c r="H158" s="73" t="s">
        <v>13</v>
      </c>
      <c r="I158" s="73" t="s">
        <v>48</v>
      </c>
      <c r="J158" s="9"/>
      <c r="K158" s="9"/>
      <c r="L158" s="9"/>
      <c r="M158" s="9"/>
    </row>
    <row r="159" spans="1:21">
      <c r="A159" s="137">
        <f ca="1">IFERROR(INDIRECT("fixtures!" &amp; Dashboard!J1 &amp;113) - Dashboard!K1/24,"TBC")</f>
        <v>45983.625</v>
      </c>
      <c r="B159" s="71" t="s">
        <v>3</v>
      </c>
      <c r="C159" s="9"/>
      <c r="D159" s="71" t="str">
        <f>IF(ISBLANK(fixtures!$K113),"",fixtures!$K113)</f>
        <v/>
      </c>
      <c r="E159" s="72" t="str">
        <f>IF(ISBLANK(fixtures!$L113),"",":")</f>
        <v/>
      </c>
      <c r="F159" s="73" t="str">
        <f>IF(ISBLANK(fixtures!$L113),"",fixtures!$L113)</f>
        <v/>
      </c>
      <c r="G159" s="9"/>
      <c r="H159" s="73" t="s">
        <v>14</v>
      </c>
      <c r="I159" s="73" t="s">
        <v>43</v>
      </c>
      <c r="J159" s="9"/>
      <c r="K159" s="9"/>
      <c r="L159" s="9"/>
      <c r="M159" s="9"/>
    </row>
    <row r="160" spans="1:21">
      <c r="A160" s="137">
        <f ca="1">IFERROR(INDIRECT("fixtures!" &amp; Dashboard!J1 &amp;114) - Dashboard!K1/24,"TBC")</f>
        <v>45983.625</v>
      </c>
      <c r="B160" s="71" t="s">
        <v>4</v>
      </c>
      <c r="C160" s="9"/>
      <c r="D160" s="71" t="str">
        <f>IF(ISBLANK(fixtures!$K114),"",fixtures!$K114)</f>
        <v/>
      </c>
      <c r="E160" s="72" t="str">
        <f>IF(ISBLANK(fixtures!$L114),"",":")</f>
        <v/>
      </c>
      <c r="F160" s="73" t="str">
        <f>IF(ISBLANK(fixtures!$L114),"",fixtures!$L114)</f>
        <v/>
      </c>
      <c r="G160" s="9"/>
      <c r="H160" s="73" t="s">
        <v>107</v>
      </c>
      <c r="I160" s="73" t="s">
        <v>217</v>
      </c>
      <c r="J160" s="9"/>
      <c r="K160" s="9"/>
      <c r="L160" s="9"/>
      <c r="M160" s="9"/>
    </row>
    <row r="161" spans="1:21">
      <c r="A161" s="137">
        <f ca="1">IFERROR(INDIRECT("fixtures!" &amp; Dashboard!J1 &amp;115) - Dashboard!K1/24,"TBC")</f>
        <v>45983.625</v>
      </c>
      <c r="B161" s="71" t="s">
        <v>5</v>
      </c>
      <c r="C161" s="9"/>
      <c r="D161" s="71" t="str">
        <f>IF(ISBLANK(fixtures!$K115),"",fixtures!$K115)</f>
        <v/>
      </c>
      <c r="E161" s="72" t="str">
        <f>IF(ISBLANK(fixtures!$L115),"",":")</f>
        <v/>
      </c>
      <c r="F161" s="73" t="str">
        <f>IF(ISBLANK(fixtures!$L115),"",fixtures!$L115)</f>
        <v/>
      </c>
      <c r="G161" s="9"/>
      <c r="H161" s="73" t="s">
        <v>6</v>
      </c>
      <c r="I161" s="73" t="s">
        <v>451</v>
      </c>
      <c r="J161" s="9"/>
      <c r="K161" s="9"/>
      <c r="L161" s="9"/>
      <c r="M161" s="9"/>
      <c r="N161" s="319"/>
      <c r="O161" s="319"/>
      <c r="P161" s="319"/>
      <c r="Q161" s="319"/>
      <c r="R161" s="319"/>
      <c r="S161" s="319"/>
      <c r="T161" s="319"/>
      <c r="U161" s="319"/>
    </row>
    <row r="162" spans="1:21">
      <c r="A162" s="137">
        <f ca="1">IFERROR(INDIRECT("fixtures!" &amp; Dashboard!J1 &amp;116) - Dashboard!K1/24,"TBC")</f>
        <v>45983.625</v>
      </c>
      <c r="B162" s="71" t="s">
        <v>108</v>
      </c>
      <c r="C162" s="9"/>
      <c r="D162" s="71" t="str">
        <f>IF(ISBLANK(fixtures!$K116),"",fixtures!$K116)</f>
        <v/>
      </c>
      <c r="E162" s="72" t="str">
        <f>IF(ISBLANK(fixtures!$L116),"",":")</f>
        <v/>
      </c>
      <c r="F162" s="73" t="str">
        <f>IF(ISBLANK(fixtures!$L116),"",fixtures!$L116)</f>
        <v/>
      </c>
      <c r="G162" s="9"/>
      <c r="H162" s="73" t="s">
        <v>443</v>
      </c>
      <c r="I162" s="73" t="s">
        <v>157</v>
      </c>
      <c r="J162" s="9"/>
      <c r="K162" s="9"/>
      <c r="L162" s="9"/>
      <c r="M162" s="9"/>
    </row>
    <row r="163" spans="1:21">
      <c r="A163" s="137">
        <f ca="1">IFERROR(INDIRECT("fixtures!" &amp; Dashboard!J1 &amp;117) - Dashboard!K1/24,"TBC")</f>
        <v>45983.625</v>
      </c>
      <c r="B163" s="71" t="s">
        <v>444</v>
      </c>
      <c r="C163" s="9"/>
      <c r="D163" s="71" t="str">
        <f>IF(ISBLANK(fixtures!$K117),"",fixtures!$K117)</f>
        <v/>
      </c>
      <c r="E163" s="72" t="str">
        <f>IF(ISBLANK(fixtures!$L117),"",":")</f>
        <v/>
      </c>
      <c r="F163" s="73" t="str">
        <f>IF(ISBLANK(fixtures!$L117),"",fixtures!$L117)</f>
        <v/>
      </c>
      <c r="G163" s="9"/>
      <c r="H163" s="73" t="s">
        <v>2</v>
      </c>
      <c r="I163" s="73" t="s">
        <v>449</v>
      </c>
      <c r="J163" s="9"/>
      <c r="K163" s="9"/>
      <c r="L163" s="9"/>
      <c r="M163" s="9"/>
    </row>
    <row r="164" spans="1:21">
      <c r="A164" s="137">
        <f ca="1">IFERROR(INDIRECT("fixtures!" &amp; Dashboard!J1 &amp;118) - Dashboard!K1/24,"TBC")</f>
        <v>45983.625</v>
      </c>
      <c r="B164" s="71" t="s">
        <v>9</v>
      </c>
      <c r="C164" s="9"/>
      <c r="D164" s="71" t="str">
        <f>IF(ISBLANK(fixtures!$K118),"",fixtures!$K118)</f>
        <v/>
      </c>
      <c r="E164" s="72" t="str">
        <f>IF(ISBLANK(fixtures!$L118),"",":")</f>
        <v/>
      </c>
      <c r="F164" s="73" t="str">
        <f>IF(ISBLANK(fixtures!$L118),"",fixtures!$L118)</f>
        <v/>
      </c>
      <c r="G164" s="9"/>
      <c r="H164" s="73" t="s">
        <v>188</v>
      </c>
      <c r="I164" s="73" t="s">
        <v>40</v>
      </c>
      <c r="J164" s="9"/>
      <c r="K164" s="9"/>
      <c r="L164" s="9"/>
      <c r="M164" s="9"/>
      <c r="N164" s="319"/>
      <c r="O164" s="319"/>
      <c r="P164" s="319"/>
      <c r="Q164" s="319"/>
      <c r="R164" s="319"/>
      <c r="S164" s="319"/>
      <c r="T164" s="319"/>
      <c r="U164" s="319"/>
    </row>
    <row r="165" spans="1:21">
      <c r="A165" s="137">
        <f ca="1">IFERROR(INDIRECT("fixtures!" &amp; Dashboard!J1 &amp;119) - Dashboard!K1/24,"TBC")</f>
        <v>45983.625</v>
      </c>
      <c r="B165" s="71" t="s">
        <v>11</v>
      </c>
      <c r="C165" s="9"/>
      <c r="D165" s="71" t="str">
        <f>IF(ISBLANK(fixtures!$K119),"",fixtures!$K119)</f>
        <v/>
      </c>
      <c r="E165" s="72" t="str">
        <f>IF(ISBLANK(fixtures!$L119),"",":")</f>
        <v/>
      </c>
      <c r="F165" s="73" t="str">
        <f>IF(ISBLANK(fixtures!$L119),"",fixtures!$L119)</f>
        <v/>
      </c>
      <c r="G165" s="9"/>
      <c r="H165" s="73" t="s">
        <v>8</v>
      </c>
      <c r="I165" s="73" t="s">
        <v>47</v>
      </c>
      <c r="J165" s="9"/>
      <c r="K165" s="9"/>
      <c r="L165" s="9"/>
      <c r="M165" s="9"/>
    </row>
    <row r="166" spans="1:21">
      <c r="A166" s="137">
        <f ca="1">IFERROR(INDIRECT("fixtures!" &amp; Dashboard!J1 &amp;120) - Dashboard!K1/24,"TBC")</f>
        <v>45983.625</v>
      </c>
      <c r="B166" s="71" t="s">
        <v>12</v>
      </c>
      <c r="C166" s="9"/>
      <c r="D166" s="71" t="str">
        <f>IF(ISBLANK(fixtures!$K120),"",fixtures!$K120)</f>
        <v/>
      </c>
      <c r="E166" s="72" t="str">
        <f>IF(ISBLANK(fixtures!$L120),"",":")</f>
        <v/>
      </c>
      <c r="F166" s="73" t="str">
        <f>IF(ISBLANK(fixtures!$L120),"",fixtures!$L120)</f>
        <v/>
      </c>
      <c r="G166" s="9"/>
      <c r="H166" s="73" t="s">
        <v>10</v>
      </c>
      <c r="I166" s="73" t="s">
        <v>46</v>
      </c>
      <c r="J166" s="9"/>
      <c r="K166" s="9"/>
      <c r="L166" s="9"/>
      <c r="M166" s="9"/>
    </row>
    <row r="167" spans="1:21">
      <c r="A167" s="137">
        <f ca="1">IFERROR(INDIRECT("fixtures!" &amp; Dashboard!J1 &amp;121) - Dashboard!K1/24,"TBC")</f>
        <v>45983.625</v>
      </c>
      <c r="B167" s="71" t="s">
        <v>15</v>
      </c>
      <c r="C167" s="9"/>
      <c r="D167" s="71" t="str">
        <f>IF(ISBLANK(fixtures!$K121),"",fixtures!$K121)</f>
        <v/>
      </c>
      <c r="E167" s="72" t="str">
        <f>IF(ISBLANK(fixtures!$L121),"",":")</f>
        <v/>
      </c>
      <c r="F167" s="73" t="str">
        <f>IF(ISBLANK(fixtures!$L121),"",fixtures!$L121)</f>
        <v/>
      </c>
      <c r="G167" s="9"/>
      <c r="H167" s="73" t="s">
        <v>7</v>
      </c>
      <c r="I167" s="73" t="s">
        <v>52</v>
      </c>
      <c r="J167" s="9"/>
      <c r="K167" s="9"/>
      <c r="L167" s="9"/>
      <c r="M167" s="9"/>
    </row>
    <row r="168" spans="1:21">
      <c r="A168" s="74" t="str">
        <f>Dashboard!D1 &amp; " Time"</f>
        <v>London Time</v>
      </c>
      <c r="B168" s="9"/>
      <c r="C168" s="9"/>
      <c r="D168" s="9"/>
      <c r="E168" s="9"/>
      <c r="F168" s="9"/>
      <c r="G168" s="9"/>
      <c r="H168" s="9"/>
      <c r="I168" s="293" t="s">
        <v>442</v>
      </c>
      <c r="J168" s="9"/>
      <c r="K168" s="9"/>
      <c r="L168" s="9"/>
      <c r="M168" s="9"/>
    </row>
    <row r="169" spans="1:21" ht="31.5">
      <c r="A169" s="10"/>
      <c r="B169" s="10"/>
      <c r="C169" s="10"/>
      <c r="D169" s="10"/>
      <c r="E169" s="10"/>
      <c r="F169" s="10"/>
      <c r="G169" s="10"/>
      <c r="H169" s="75" t="s">
        <v>64</v>
      </c>
      <c r="I169" s="10"/>
      <c r="J169" s="10"/>
      <c r="K169" s="10"/>
      <c r="L169" s="10"/>
      <c r="M169" s="10"/>
    </row>
    <row r="170" spans="1:21">
      <c r="A170" s="156" t="s">
        <v>574</v>
      </c>
      <c r="B170" s="157"/>
      <c r="C170" s="157"/>
      <c r="D170" s="157"/>
      <c r="E170" s="157"/>
      <c r="F170" s="157"/>
      <c r="G170" s="157"/>
      <c r="H170" s="157"/>
      <c r="I170" s="157"/>
      <c r="J170" s="157"/>
      <c r="K170" s="157"/>
      <c r="L170" s="157"/>
      <c r="M170" s="157"/>
      <c r="N170" s="319"/>
      <c r="O170" s="319"/>
      <c r="P170" s="319"/>
      <c r="Q170" s="319"/>
      <c r="R170" s="319"/>
      <c r="S170" s="319"/>
      <c r="T170" s="319"/>
      <c r="U170" s="319"/>
    </row>
    <row r="171" spans="1:21">
      <c r="A171" s="138">
        <f ca="1">IFERROR(INDIRECT("fixtures!" &amp; Dashboard!J1 &amp;122) - Dashboard!K1/24,"TBC")</f>
        <v>45990.625</v>
      </c>
      <c r="B171" s="76" t="s">
        <v>2</v>
      </c>
      <c r="C171" s="11"/>
      <c r="D171" s="76" t="str">
        <f>IF(ISBLANK(fixtures!$K122),"",fixtures!$K122)</f>
        <v/>
      </c>
      <c r="E171" s="77" t="str">
        <f>IF(ISBLANK(fixtures!$L122),"",":")</f>
        <v/>
      </c>
      <c r="F171" s="78" t="str">
        <f>IF(ISBLANK(fixtures!$L122),"",fixtures!$L122)</f>
        <v/>
      </c>
      <c r="G171" s="11"/>
      <c r="H171" s="78" t="s">
        <v>15</v>
      </c>
      <c r="I171" s="78" t="s">
        <v>49</v>
      </c>
      <c r="J171" s="11"/>
      <c r="K171" s="11"/>
      <c r="L171" s="11"/>
      <c r="M171" s="11"/>
    </row>
    <row r="172" spans="1:21">
      <c r="A172" s="138">
        <f ca="1">IFERROR(INDIRECT("fixtures!" &amp; Dashboard!J1 &amp;123) - Dashboard!K1/24,"TBC")</f>
        <v>45990.625</v>
      </c>
      <c r="B172" s="76" t="s">
        <v>107</v>
      </c>
      <c r="C172" s="11"/>
      <c r="D172" s="76" t="str">
        <f>IF(ISBLANK(fixtures!$K123),"",fixtures!$K123)</f>
        <v/>
      </c>
      <c r="E172" s="77" t="str">
        <f>IF(ISBLANK(fixtures!$L123),"",":")</f>
        <v/>
      </c>
      <c r="F172" s="78" t="str">
        <f>IF(ISBLANK(fixtures!$L123),"",fixtures!$L123)</f>
        <v/>
      </c>
      <c r="G172" s="11"/>
      <c r="H172" s="78" t="s">
        <v>5</v>
      </c>
      <c r="I172" s="78" t="s">
        <v>172</v>
      </c>
      <c r="J172" s="11"/>
      <c r="K172" s="11"/>
      <c r="L172" s="11"/>
      <c r="M172" s="11"/>
    </row>
    <row r="173" spans="1:21">
      <c r="A173" s="138">
        <f ca="1">IFERROR(INDIRECT("fixtures!" &amp; Dashboard!J1 &amp;124) - Dashboard!K1/24,"TBC")</f>
        <v>45990.625</v>
      </c>
      <c r="B173" s="76" t="s">
        <v>6</v>
      </c>
      <c r="C173" s="11"/>
      <c r="D173" s="76" t="str">
        <f>IF(ISBLANK(fixtures!$K124),"",fixtures!$K124)</f>
        <v/>
      </c>
      <c r="E173" s="77" t="str">
        <f>IF(ISBLANK(fixtures!$L124),"",":")</f>
        <v/>
      </c>
      <c r="F173" s="78" t="str">
        <f>IF(ISBLANK(fixtures!$L124),"",fixtures!$L124)</f>
        <v/>
      </c>
      <c r="G173" s="11"/>
      <c r="H173" s="78" t="s">
        <v>1</v>
      </c>
      <c r="I173" s="78" t="s">
        <v>51</v>
      </c>
      <c r="J173" s="11"/>
      <c r="K173" s="11"/>
      <c r="L173" s="11"/>
      <c r="M173" s="11"/>
    </row>
    <row r="174" spans="1:21">
      <c r="A174" s="138">
        <f ca="1">IFERROR(INDIRECT("fixtures!" &amp; Dashboard!J1 &amp;125) - Dashboard!K1/24,"TBC")</f>
        <v>45990.625</v>
      </c>
      <c r="B174" s="76" t="s">
        <v>7</v>
      </c>
      <c r="C174" s="11"/>
      <c r="D174" s="76" t="str">
        <f>IF(ISBLANK(fixtures!$K125),"",fixtures!$K125)</f>
        <v/>
      </c>
      <c r="E174" s="77" t="str">
        <f>IF(ISBLANK(fixtures!$L125),"",":")</f>
        <v/>
      </c>
      <c r="F174" s="78" t="str">
        <f>IF(ISBLANK(fixtures!$L125),"",fixtures!$L125)</f>
        <v/>
      </c>
      <c r="G174" s="11"/>
      <c r="H174" s="78" t="s">
        <v>11</v>
      </c>
      <c r="I174" s="78" t="s">
        <v>44</v>
      </c>
      <c r="J174" s="11"/>
      <c r="K174" s="11"/>
      <c r="L174" s="11"/>
      <c r="M174" s="11"/>
    </row>
    <row r="175" spans="1:21">
      <c r="A175" s="138">
        <f ca="1">IFERROR(INDIRECT("fixtures!" &amp; Dashboard!J1 &amp;126) - Dashboard!K1/24,"TBC")</f>
        <v>45990.625</v>
      </c>
      <c r="B175" s="76" t="s">
        <v>8</v>
      </c>
      <c r="C175" s="11"/>
      <c r="D175" s="76" t="str">
        <f>IF(ISBLANK(fixtures!$K126),"",fixtures!$K126)</f>
        <v/>
      </c>
      <c r="E175" s="77" t="str">
        <f>IF(ISBLANK(fixtures!$L126),"",":")</f>
        <v/>
      </c>
      <c r="F175" s="78" t="str">
        <f>IF(ISBLANK(fixtures!$L126),"",fixtures!$L126)</f>
        <v/>
      </c>
      <c r="G175" s="11"/>
      <c r="H175" s="78" t="s">
        <v>12</v>
      </c>
      <c r="I175" s="78" t="s">
        <v>452</v>
      </c>
      <c r="J175" s="11"/>
      <c r="K175" s="11"/>
      <c r="L175" s="11"/>
      <c r="M175" s="11"/>
      <c r="N175" s="319"/>
      <c r="O175" s="319"/>
      <c r="P175" s="319"/>
      <c r="Q175" s="319"/>
      <c r="R175" s="319"/>
      <c r="S175" s="319"/>
      <c r="T175" s="319"/>
      <c r="U175" s="319"/>
    </row>
    <row r="176" spans="1:21">
      <c r="A176" s="138">
        <f ca="1">IFERROR(INDIRECT("fixtures!" &amp; Dashboard!J1 &amp;127) - Dashboard!K1/24,"TBC")</f>
        <v>45990.625</v>
      </c>
      <c r="B176" s="76" t="s">
        <v>10</v>
      </c>
      <c r="C176" s="11"/>
      <c r="D176" s="76" t="str">
        <f>IF(ISBLANK(fixtures!$K127),"",fixtures!$K127)</f>
        <v/>
      </c>
      <c r="E176" s="77" t="str">
        <f>IF(ISBLANK(fixtures!$L127),"",":")</f>
        <v/>
      </c>
      <c r="F176" s="78" t="str">
        <f>IF(ISBLANK(fixtures!$L127),"",fixtures!$L127)</f>
        <v/>
      </c>
      <c r="G176" s="11"/>
      <c r="H176" s="78" t="s">
        <v>444</v>
      </c>
      <c r="I176" s="78" t="s">
        <v>50</v>
      </c>
      <c r="J176" s="11"/>
      <c r="K176" s="11"/>
      <c r="L176" s="11"/>
      <c r="M176" s="11"/>
    </row>
    <row r="177" spans="1:21">
      <c r="A177" s="138">
        <f ca="1">IFERROR(INDIRECT("fixtures!" &amp; Dashboard!J1 &amp;128) - Dashboard!K1/24,"TBC")</f>
        <v>45990.625</v>
      </c>
      <c r="B177" s="76" t="s">
        <v>188</v>
      </c>
      <c r="C177" s="11"/>
      <c r="D177" s="76" t="str">
        <f>IF(ISBLANK(fixtures!$K128),"",fixtures!$K128)</f>
        <v/>
      </c>
      <c r="E177" s="77" t="str">
        <f>IF(ISBLANK(fixtures!$L128),"",":")</f>
        <v/>
      </c>
      <c r="F177" s="78" t="str">
        <f>IF(ISBLANK(fixtures!$L128),"",fixtures!$L128)</f>
        <v/>
      </c>
      <c r="G177" s="11"/>
      <c r="H177" s="78" t="s">
        <v>4</v>
      </c>
      <c r="I177" s="78" t="s">
        <v>158</v>
      </c>
      <c r="J177" s="11"/>
      <c r="K177" s="11"/>
      <c r="L177" s="11"/>
      <c r="M177" s="11"/>
    </row>
    <row r="178" spans="1:21">
      <c r="A178" s="138">
        <f ca="1">IFERROR(INDIRECT("fixtures!" &amp; Dashboard!J1 &amp;129) - Dashboard!K1/24,"TBC")</f>
        <v>45990.625</v>
      </c>
      <c r="B178" s="76" t="s">
        <v>13</v>
      </c>
      <c r="C178" s="11"/>
      <c r="D178" s="76" t="str">
        <f>IF(ISBLANK(fixtures!$K129),"",fixtures!$K129)</f>
        <v/>
      </c>
      <c r="E178" s="77" t="str">
        <f>IF(ISBLANK(fixtures!$L129),"",":")</f>
        <v/>
      </c>
      <c r="F178" s="78" t="str">
        <f>IF(ISBLANK(fixtures!$L129),"",fixtures!$L129)</f>
        <v/>
      </c>
      <c r="G178" s="11"/>
      <c r="H178" s="78" t="s">
        <v>108</v>
      </c>
      <c r="I178" s="78" t="s">
        <v>45</v>
      </c>
      <c r="J178" s="11"/>
      <c r="K178" s="11"/>
      <c r="L178" s="11"/>
      <c r="M178" s="11"/>
    </row>
    <row r="179" spans="1:21">
      <c r="A179" s="138">
        <f ca="1">IFERROR(INDIRECT("fixtures!" &amp; Dashboard!J1 &amp;130) - Dashboard!K1/24,"TBC")</f>
        <v>45990.625</v>
      </c>
      <c r="B179" s="76" t="s">
        <v>443</v>
      </c>
      <c r="C179" s="11"/>
      <c r="D179" s="76" t="str">
        <f>IF(ISBLANK(fixtures!$K130),"",fixtures!$K130)</f>
        <v/>
      </c>
      <c r="E179" s="77" t="str">
        <f>IF(ISBLANK(fixtures!$L130),"",":")</f>
        <v/>
      </c>
      <c r="F179" s="78" t="str">
        <f>IF(ISBLANK(fixtures!$L130),"",fixtures!$L130)</f>
        <v/>
      </c>
      <c r="G179" s="11"/>
      <c r="H179" s="78" t="s">
        <v>3</v>
      </c>
      <c r="I179" s="78" t="s">
        <v>448</v>
      </c>
      <c r="J179" s="11"/>
      <c r="K179" s="11"/>
      <c r="L179" s="11"/>
      <c r="M179" s="11"/>
    </row>
    <row r="180" spans="1:21">
      <c r="A180" s="138">
        <f ca="1">IFERROR(INDIRECT("fixtures!" &amp; Dashboard!J1 &amp;131) - Dashboard!K1/24,"TBC")</f>
        <v>45990.625</v>
      </c>
      <c r="B180" s="76" t="s">
        <v>14</v>
      </c>
      <c r="C180" s="11"/>
      <c r="D180" s="76" t="str">
        <f>IF(ISBLANK(fixtures!$K131),"",fixtures!$K131)</f>
        <v/>
      </c>
      <c r="E180" s="77" t="str">
        <f>IF(ISBLANK(fixtures!$L131),"",":")</f>
        <v/>
      </c>
      <c r="F180" s="78" t="str">
        <f>IF(ISBLANK(fixtures!$L131),"",fixtures!$L131)</f>
        <v/>
      </c>
      <c r="G180" s="11"/>
      <c r="H180" s="78" t="s">
        <v>9</v>
      </c>
      <c r="I180" s="78" t="s">
        <v>42</v>
      </c>
      <c r="J180" s="11"/>
      <c r="K180" s="11"/>
      <c r="L180" s="11"/>
      <c r="M180" s="11"/>
      <c r="N180" s="319"/>
      <c r="O180" s="319"/>
      <c r="P180" s="319"/>
      <c r="Q180" s="319"/>
      <c r="R180" s="319"/>
      <c r="S180" s="319"/>
      <c r="T180" s="319"/>
      <c r="U180" s="319"/>
    </row>
    <row r="181" spans="1:21">
      <c r="A181" s="79" t="str">
        <f>Dashboard!D1 &amp; " Time"</f>
        <v>London Time</v>
      </c>
      <c r="B181" s="11"/>
      <c r="C181" s="11"/>
      <c r="D181" s="11"/>
      <c r="E181" s="11"/>
      <c r="F181" s="11"/>
      <c r="G181" s="11"/>
      <c r="H181" s="11"/>
      <c r="I181" s="294" t="s">
        <v>442</v>
      </c>
      <c r="J181" s="11"/>
      <c r="K181" s="11"/>
      <c r="L181" s="11"/>
      <c r="M181" s="11"/>
    </row>
    <row r="182" spans="1:21" ht="31.5">
      <c r="A182" s="26"/>
      <c r="B182" s="26"/>
      <c r="C182" s="26"/>
      <c r="D182" s="26"/>
      <c r="E182" s="26"/>
      <c r="F182" s="26"/>
      <c r="G182" s="26"/>
      <c r="H182" s="357" t="s">
        <v>65</v>
      </c>
      <c r="I182" s="26"/>
      <c r="J182" s="26"/>
      <c r="K182" s="26"/>
      <c r="L182" s="26"/>
      <c r="M182" s="26"/>
    </row>
    <row r="183" spans="1:21">
      <c r="A183" s="358" t="s">
        <v>575</v>
      </c>
      <c r="B183" s="359"/>
      <c r="C183" s="359"/>
      <c r="D183" s="359"/>
      <c r="E183" s="359"/>
      <c r="F183" s="359"/>
      <c r="G183" s="359"/>
      <c r="H183" s="359"/>
      <c r="I183" s="359"/>
      <c r="J183" s="359"/>
      <c r="K183" s="359"/>
      <c r="L183" s="359"/>
      <c r="M183" s="359"/>
    </row>
    <row r="184" spans="1:21">
      <c r="A184" s="360">
        <f ca="1">IFERROR(INDIRECT("fixtures!" &amp; Dashboard!J1 &amp;132) - Dashboard!K1/24,"TBC")</f>
        <v>45994.833333333336</v>
      </c>
      <c r="B184" s="89" t="s">
        <v>1</v>
      </c>
      <c r="C184" s="27"/>
      <c r="D184" s="89" t="str">
        <f>IF(ISBLANK(fixtures!$K132),"",fixtures!$K132)</f>
        <v/>
      </c>
      <c r="E184" s="361" t="str">
        <f>IF(ISBLANK(fixtures!$L132),"",":")</f>
        <v/>
      </c>
      <c r="F184" s="90" t="str">
        <f>IF(ISBLANK(fixtures!$L132),"",fixtures!$L132)</f>
        <v/>
      </c>
      <c r="G184" s="27"/>
      <c r="H184" s="90" t="s">
        <v>107</v>
      </c>
      <c r="I184" s="90" t="s">
        <v>48</v>
      </c>
      <c r="J184" s="27"/>
      <c r="K184" s="27"/>
      <c r="L184" s="27"/>
      <c r="M184" s="27"/>
    </row>
    <row r="185" spans="1:21">
      <c r="A185" s="360">
        <f ca="1">IFERROR(INDIRECT("fixtures!" &amp; Dashboard!J1 &amp;133) - Dashboard!K1/24,"TBC")</f>
        <v>45994.833333333336</v>
      </c>
      <c r="B185" s="89" t="s">
        <v>3</v>
      </c>
      <c r="C185" s="27"/>
      <c r="D185" s="89" t="str">
        <f>IF(ISBLANK(fixtures!$K133),"",fixtures!$K133)</f>
        <v/>
      </c>
      <c r="E185" s="361" t="str">
        <f>IF(ISBLANK(fixtures!$L133),"",":")</f>
        <v/>
      </c>
      <c r="F185" s="90" t="str">
        <f>IF(ISBLANK(fixtures!$L133),"",fixtures!$L133)</f>
        <v/>
      </c>
      <c r="G185" s="27"/>
      <c r="H185" s="90" t="s">
        <v>8</v>
      </c>
      <c r="I185" s="90" t="s">
        <v>43</v>
      </c>
      <c r="J185" s="27"/>
      <c r="K185" s="27"/>
      <c r="L185" s="27"/>
      <c r="M185" s="27"/>
    </row>
    <row r="186" spans="1:21">
      <c r="A186" s="360">
        <f ca="1">IFERROR(INDIRECT("fixtures!" &amp; Dashboard!J1 &amp;134) - Dashboard!K1/24,"TBC")</f>
        <v>45994.833333333336</v>
      </c>
      <c r="B186" s="89" t="s">
        <v>4</v>
      </c>
      <c r="C186" s="27"/>
      <c r="D186" s="89" t="str">
        <f>IF(ISBLANK(fixtures!$K134),"",fixtures!$K134)</f>
        <v/>
      </c>
      <c r="E186" s="361" t="str">
        <f>IF(ISBLANK(fixtures!$L134),"",":")</f>
        <v/>
      </c>
      <c r="F186" s="90" t="str">
        <f>IF(ISBLANK(fixtures!$L134),"",fixtures!$L134)</f>
        <v/>
      </c>
      <c r="G186" s="27"/>
      <c r="H186" s="90" t="s">
        <v>2</v>
      </c>
      <c r="I186" s="90" t="s">
        <v>217</v>
      </c>
      <c r="J186" s="27"/>
      <c r="K186" s="27"/>
      <c r="L186" s="27"/>
      <c r="M186" s="27"/>
      <c r="N186" s="319"/>
      <c r="O186" s="319"/>
      <c r="P186" s="319"/>
      <c r="Q186" s="319"/>
      <c r="R186" s="319"/>
      <c r="S186" s="319"/>
      <c r="T186" s="319"/>
      <c r="U186" s="319"/>
    </row>
    <row r="187" spans="1:21">
      <c r="A187" s="360">
        <f ca="1">IFERROR(INDIRECT("fixtures!" &amp; Dashboard!J1 &amp;135) - Dashboard!K1/24,"TBC")</f>
        <v>45994.833333333336</v>
      </c>
      <c r="B187" s="89" t="s">
        <v>5</v>
      </c>
      <c r="C187" s="27"/>
      <c r="D187" s="89" t="str">
        <f>IF(ISBLANK(fixtures!$K135),"",fixtures!$K135)</f>
        <v/>
      </c>
      <c r="E187" s="361" t="str">
        <f>IF(ISBLANK(fixtures!$L135),"",":")</f>
        <v/>
      </c>
      <c r="F187" s="90" t="str">
        <f>IF(ISBLANK(fixtures!$L135),"",fixtures!$L135)</f>
        <v/>
      </c>
      <c r="G187" s="27"/>
      <c r="H187" s="90" t="s">
        <v>7</v>
      </c>
      <c r="I187" s="90" t="s">
        <v>451</v>
      </c>
      <c r="J187" s="27"/>
      <c r="K187" s="27"/>
      <c r="L187" s="27"/>
      <c r="M187" s="27"/>
    </row>
    <row r="188" spans="1:21">
      <c r="A188" s="360">
        <f ca="1">IFERROR(INDIRECT("fixtures!" &amp; Dashboard!J1 &amp;136) - Dashboard!K1/24,"TBC")</f>
        <v>45994.833333333336</v>
      </c>
      <c r="B188" s="89" t="s">
        <v>108</v>
      </c>
      <c r="C188" s="27"/>
      <c r="D188" s="89" t="str">
        <f>IF(ISBLANK(fixtures!$K136),"",fixtures!$K136)</f>
        <v/>
      </c>
      <c r="E188" s="361" t="str">
        <f>IF(ISBLANK(fixtures!$L136),"",":")</f>
        <v/>
      </c>
      <c r="F188" s="90" t="str">
        <f>IF(ISBLANK(fixtures!$L136),"",fixtures!$L136)</f>
        <v/>
      </c>
      <c r="G188" s="27"/>
      <c r="H188" s="90" t="s">
        <v>10</v>
      </c>
      <c r="I188" s="90" t="s">
        <v>157</v>
      </c>
      <c r="J188" s="27"/>
      <c r="K188" s="27"/>
      <c r="L188" s="27"/>
      <c r="M188" s="27"/>
    </row>
    <row r="189" spans="1:21">
      <c r="A189" s="360">
        <f ca="1">IFERROR(INDIRECT("fixtures!" &amp; Dashboard!J1 &amp;137) - Dashboard!K1/24,"TBC")</f>
        <v>45994.833333333336</v>
      </c>
      <c r="B189" s="89" t="s">
        <v>444</v>
      </c>
      <c r="C189" s="27"/>
      <c r="D189" s="89" t="str">
        <f>IF(ISBLANK(fixtures!$K137),"",fixtures!$K137)</f>
        <v/>
      </c>
      <c r="E189" s="361" t="str">
        <f>IF(ISBLANK(fixtures!$L137),"",":")</f>
        <v/>
      </c>
      <c r="F189" s="90" t="str">
        <f>IF(ISBLANK(fixtures!$L137),"",fixtures!$L137)</f>
        <v/>
      </c>
      <c r="G189" s="27"/>
      <c r="H189" s="90" t="s">
        <v>6</v>
      </c>
      <c r="I189" s="90" t="s">
        <v>449</v>
      </c>
      <c r="J189" s="27"/>
      <c r="K189" s="27"/>
      <c r="L189" s="27"/>
      <c r="M189" s="27"/>
    </row>
    <row r="190" spans="1:21">
      <c r="A190" s="360">
        <f ca="1">IFERROR(INDIRECT("fixtures!" &amp; Dashboard!J1 &amp;138) - Dashboard!K1/24,"TBC")</f>
        <v>45994.833333333336</v>
      </c>
      <c r="B190" s="89" t="s">
        <v>9</v>
      </c>
      <c r="C190" s="27"/>
      <c r="D190" s="89" t="str">
        <f>IF(ISBLANK(fixtures!$K138),"",fixtures!$K138)</f>
        <v/>
      </c>
      <c r="E190" s="361" t="str">
        <f>IF(ISBLANK(fixtures!$L138),"",":")</f>
        <v/>
      </c>
      <c r="F190" s="90" t="str">
        <f>IF(ISBLANK(fixtures!$L138),"",fixtures!$L138)</f>
        <v/>
      </c>
      <c r="G190" s="27"/>
      <c r="H190" s="90" t="s">
        <v>443</v>
      </c>
      <c r="I190" s="90" t="s">
        <v>40</v>
      </c>
      <c r="J190" s="27"/>
      <c r="K190" s="27"/>
      <c r="L190" s="27"/>
      <c r="M190" s="27"/>
      <c r="N190" s="319"/>
      <c r="O190" s="319"/>
      <c r="P190" s="319"/>
      <c r="Q190" s="319"/>
      <c r="R190" s="319"/>
      <c r="S190" s="319"/>
      <c r="T190" s="319"/>
      <c r="U190" s="319"/>
    </row>
    <row r="191" spans="1:21">
      <c r="A191" s="360">
        <f ca="1">IFERROR(INDIRECT("fixtures!" &amp; Dashboard!J1 &amp;139) - Dashboard!K1/24,"TBC")</f>
        <v>45994.833333333336</v>
      </c>
      <c r="B191" s="89" t="s">
        <v>11</v>
      </c>
      <c r="C191" s="27"/>
      <c r="D191" s="89" t="str">
        <f>IF(ISBLANK(fixtures!$K139),"",fixtures!$K139)</f>
        <v/>
      </c>
      <c r="E191" s="361" t="str">
        <f>IF(ISBLANK(fixtures!$L139),"",":")</f>
        <v/>
      </c>
      <c r="F191" s="90" t="str">
        <f>IF(ISBLANK(fixtures!$L139),"",fixtures!$L139)</f>
        <v/>
      </c>
      <c r="G191" s="27"/>
      <c r="H191" s="90" t="s">
        <v>14</v>
      </c>
      <c r="I191" s="90" t="s">
        <v>47</v>
      </c>
      <c r="J191" s="27"/>
      <c r="K191" s="27"/>
      <c r="L191" s="27"/>
      <c r="M191" s="27"/>
    </row>
    <row r="192" spans="1:21">
      <c r="A192" s="360">
        <f ca="1">IFERROR(INDIRECT("fixtures!" &amp; Dashboard!J1 &amp;140) - Dashboard!K1/24,"TBC")</f>
        <v>45994.833333333336</v>
      </c>
      <c r="B192" s="89" t="s">
        <v>12</v>
      </c>
      <c r="C192" s="27"/>
      <c r="D192" s="89" t="str">
        <f>IF(ISBLANK(fixtures!$K140),"",fixtures!$K140)</f>
        <v/>
      </c>
      <c r="E192" s="361" t="str">
        <f>IF(ISBLANK(fixtures!$L140),"",":")</f>
        <v/>
      </c>
      <c r="F192" s="90" t="str">
        <f>IF(ISBLANK(fixtures!$L140),"",fixtures!$L140)</f>
        <v/>
      </c>
      <c r="G192" s="27"/>
      <c r="H192" s="90" t="s">
        <v>13</v>
      </c>
      <c r="I192" s="90" t="s">
        <v>46</v>
      </c>
      <c r="J192" s="27"/>
      <c r="K192" s="27"/>
      <c r="L192" s="27"/>
      <c r="M192" s="27"/>
    </row>
    <row r="193" spans="1:21">
      <c r="A193" s="360">
        <f ca="1">IFERROR(INDIRECT("fixtures!" &amp; Dashboard!J1 &amp;141) - Dashboard!K1/24,"TBC")</f>
        <v>45994.833333333336</v>
      </c>
      <c r="B193" s="89" t="s">
        <v>15</v>
      </c>
      <c r="C193" s="27"/>
      <c r="D193" s="89" t="str">
        <f>IF(ISBLANK(fixtures!$K141),"",fixtures!$K141)</f>
        <v/>
      </c>
      <c r="E193" s="361" t="str">
        <f>IF(ISBLANK(fixtures!$L141),"",":")</f>
        <v/>
      </c>
      <c r="F193" s="90" t="str">
        <f>IF(ISBLANK(fixtures!$L141),"",fixtures!$L141)</f>
        <v/>
      </c>
      <c r="G193" s="27"/>
      <c r="H193" s="90" t="s">
        <v>188</v>
      </c>
      <c r="I193" s="90" t="s">
        <v>52</v>
      </c>
      <c r="J193" s="27"/>
      <c r="K193" s="27"/>
      <c r="L193" s="27"/>
      <c r="M193" s="27"/>
    </row>
    <row r="194" spans="1:21">
      <c r="A194" s="362" t="str">
        <f>Dashboard!D1 &amp; " Time"</f>
        <v>London Time</v>
      </c>
      <c r="B194" s="27"/>
      <c r="C194" s="27"/>
      <c r="D194" s="27"/>
      <c r="E194" s="27"/>
      <c r="F194" s="27"/>
      <c r="G194" s="27"/>
      <c r="H194" s="27"/>
      <c r="I194" s="363" t="s">
        <v>442</v>
      </c>
      <c r="J194" s="27"/>
      <c r="K194" s="27"/>
      <c r="L194" s="27"/>
      <c r="M194" s="27"/>
    </row>
    <row r="195" spans="1:21" ht="31.5">
      <c r="A195" s="168"/>
      <c r="B195" s="168"/>
      <c r="C195" s="168"/>
      <c r="D195" s="168"/>
      <c r="E195" s="168"/>
      <c r="F195" s="168"/>
      <c r="G195" s="168"/>
      <c r="H195" s="203" t="s">
        <v>66</v>
      </c>
      <c r="I195" s="168"/>
      <c r="J195" s="168"/>
      <c r="K195" s="168"/>
      <c r="L195" s="168"/>
      <c r="M195" s="168"/>
    </row>
    <row r="196" spans="1:21">
      <c r="A196" s="204" t="s">
        <v>576</v>
      </c>
      <c r="B196" s="205"/>
      <c r="C196" s="205"/>
      <c r="D196" s="205"/>
      <c r="E196" s="205"/>
      <c r="F196" s="205"/>
      <c r="G196" s="205"/>
      <c r="H196" s="205"/>
      <c r="I196" s="205"/>
      <c r="J196" s="205"/>
      <c r="K196" s="205"/>
      <c r="L196" s="205"/>
      <c r="M196" s="205"/>
    </row>
    <row r="197" spans="1:21">
      <c r="A197" s="206">
        <f ca="1">IFERROR(INDIRECT("fixtures!" &amp; Dashboard!J1 &amp;142) - Dashboard!K1/24,"TBC")</f>
        <v>45997.625</v>
      </c>
      <c r="B197" s="207" t="s">
        <v>2</v>
      </c>
      <c r="C197" s="19"/>
      <c r="D197" s="207" t="str">
        <f>IF(ISBLANK(fixtures!$K142),"",fixtures!$K142)</f>
        <v/>
      </c>
      <c r="E197" s="208" t="str">
        <f>IF(ISBLANK(fixtures!$L142),"",":")</f>
        <v/>
      </c>
      <c r="F197" s="209" t="str">
        <f>IF(ISBLANK(fixtures!$L142),"",fixtures!$L142)</f>
        <v/>
      </c>
      <c r="G197" s="19"/>
      <c r="H197" s="209" t="s">
        <v>1</v>
      </c>
      <c r="I197" s="209" t="s">
        <v>49</v>
      </c>
      <c r="J197" s="19"/>
      <c r="K197" s="19"/>
      <c r="L197" s="19"/>
      <c r="M197" s="19"/>
    </row>
    <row r="198" spans="1:21">
      <c r="A198" s="206">
        <f ca="1">IFERROR(INDIRECT("fixtures!" &amp; Dashboard!J1 &amp;143) - Dashboard!K1/24,"TBC")</f>
        <v>45997.625</v>
      </c>
      <c r="B198" s="207" t="s">
        <v>3</v>
      </c>
      <c r="C198" s="19"/>
      <c r="D198" s="207" t="str">
        <f>IF(ISBLANK(fixtures!$K143),"",fixtures!$K143)</f>
        <v/>
      </c>
      <c r="E198" s="208" t="str">
        <f>IF(ISBLANK(fixtures!$L143),"",":")</f>
        <v/>
      </c>
      <c r="F198" s="209" t="str">
        <f>IF(ISBLANK(fixtures!$L143),"",fixtures!$L143)</f>
        <v/>
      </c>
      <c r="G198" s="19"/>
      <c r="H198" s="209" t="s">
        <v>6</v>
      </c>
      <c r="I198" s="209" t="s">
        <v>43</v>
      </c>
      <c r="J198" s="19"/>
      <c r="K198" s="19"/>
      <c r="L198" s="19"/>
      <c r="M198" s="19"/>
    </row>
    <row r="199" spans="1:21">
      <c r="A199" s="206">
        <f ca="1">IFERROR(INDIRECT("fixtures!" &amp; Dashboard!J1 &amp;144) - Dashboard!K1/24,"TBC")</f>
        <v>45997.625</v>
      </c>
      <c r="B199" s="207" t="s">
        <v>4</v>
      </c>
      <c r="C199" s="19"/>
      <c r="D199" s="207" t="str">
        <f>IF(ISBLANK(fixtures!$K144),"",fixtures!$K144)</f>
        <v/>
      </c>
      <c r="E199" s="208" t="str">
        <f>IF(ISBLANK(fixtures!$L144),"",":")</f>
        <v/>
      </c>
      <c r="F199" s="209" t="str">
        <f>IF(ISBLANK(fixtures!$L144),"",fixtures!$L144)</f>
        <v/>
      </c>
      <c r="G199" s="19"/>
      <c r="H199" s="209" t="s">
        <v>14</v>
      </c>
      <c r="I199" s="209" t="s">
        <v>217</v>
      </c>
      <c r="J199" s="19"/>
      <c r="K199" s="19"/>
      <c r="L199" s="19"/>
      <c r="M199" s="19"/>
      <c r="N199" s="319"/>
      <c r="O199" s="319"/>
      <c r="P199" s="319"/>
      <c r="Q199" s="319"/>
      <c r="R199" s="319"/>
      <c r="S199" s="319"/>
      <c r="T199" s="319"/>
      <c r="U199" s="319"/>
    </row>
    <row r="200" spans="1:21">
      <c r="A200" s="206">
        <f ca="1">IFERROR(INDIRECT("fixtures!" &amp; Dashboard!J1 &amp;145) - Dashboard!K1/24,"TBC")</f>
        <v>45997.625</v>
      </c>
      <c r="B200" s="207" t="s">
        <v>8</v>
      </c>
      <c r="C200" s="19"/>
      <c r="D200" s="207" t="str">
        <f>IF(ISBLANK(fixtures!$K145),"",fixtures!$K145)</f>
        <v/>
      </c>
      <c r="E200" s="208" t="str">
        <f>IF(ISBLANK(fixtures!$L145),"",":")</f>
        <v/>
      </c>
      <c r="F200" s="209" t="str">
        <f>IF(ISBLANK(fixtures!$L145),"",fixtures!$L145)</f>
        <v/>
      </c>
      <c r="G200" s="19"/>
      <c r="H200" s="209" t="s">
        <v>188</v>
      </c>
      <c r="I200" s="209" t="s">
        <v>452</v>
      </c>
      <c r="J200" s="19"/>
      <c r="K200" s="19"/>
      <c r="L200" s="19"/>
      <c r="M200" s="19"/>
    </row>
    <row r="201" spans="1:21">
      <c r="A201" s="206">
        <f ca="1">IFERROR(INDIRECT("fixtures!" &amp; Dashboard!J1 &amp;146) - Dashboard!K1/24,"TBC")</f>
        <v>45997.625</v>
      </c>
      <c r="B201" s="207" t="s">
        <v>108</v>
      </c>
      <c r="C201" s="19"/>
      <c r="D201" s="207" t="str">
        <f>IF(ISBLANK(fixtures!$K146),"",fixtures!$K146)</f>
        <v/>
      </c>
      <c r="E201" s="208" t="str">
        <f>IF(ISBLANK(fixtures!$L146),"",":")</f>
        <v/>
      </c>
      <c r="F201" s="209" t="str">
        <f>IF(ISBLANK(fixtures!$L146),"",fixtures!$L146)</f>
        <v/>
      </c>
      <c r="G201" s="19"/>
      <c r="H201" s="209" t="s">
        <v>7</v>
      </c>
      <c r="I201" s="209" t="s">
        <v>157</v>
      </c>
      <c r="J201" s="19"/>
      <c r="K201" s="19"/>
      <c r="L201" s="19"/>
      <c r="M201" s="19"/>
    </row>
    <row r="202" spans="1:21">
      <c r="A202" s="206">
        <f ca="1">IFERROR(INDIRECT("fixtures!" &amp; Dashboard!J1 &amp;147) - Dashboard!K1/24,"TBC")</f>
        <v>45997.625</v>
      </c>
      <c r="B202" s="207" t="s">
        <v>444</v>
      </c>
      <c r="C202" s="19"/>
      <c r="D202" s="207" t="str">
        <f>IF(ISBLANK(fixtures!$K147),"",fixtures!$K147)</f>
        <v/>
      </c>
      <c r="E202" s="208" t="str">
        <f>IF(ISBLANK(fixtures!$L147),"",":")</f>
        <v/>
      </c>
      <c r="F202" s="209" t="str">
        <f>IF(ISBLANK(fixtures!$L147),"",fixtures!$L147)</f>
        <v/>
      </c>
      <c r="G202" s="19"/>
      <c r="H202" s="209" t="s">
        <v>9</v>
      </c>
      <c r="I202" s="209" t="s">
        <v>449</v>
      </c>
      <c r="J202" s="19"/>
      <c r="K202" s="19"/>
      <c r="L202" s="19"/>
      <c r="M202" s="19"/>
    </row>
    <row r="203" spans="1:21">
      <c r="A203" s="206">
        <f ca="1">IFERROR(INDIRECT("fixtures!" &amp; Dashboard!J1 &amp;148) - Dashboard!K1/24,"TBC")</f>
        <v>45997.625</v>
      </c>
      <c r="B203" s="207" t="s">
        <v>10</v>
      </c>
      <c r="C203" s="19"/>
      <c r="D203" s="207" t="str">
        <f>IF(ISBLANK(fixtures!$K148),"",fixtures!$K148)</f>
        <v/>
      </c>
      <c r="E203" s="208" t="str">
        <f>IF(ISBLANK(fixtures!$L148),"",":")</f>
        <v/>
      </c>
      <c r="F203" s="209" t="str">
        <f>IF(ISBLANK(fixtures!$L148),"",fixtures!$L148)</f>
        <v/>
      </c>
      <c r="G203" s="19"/>
      <c r="H203" s="209" t="s">
        <v>443</v>
      </c>
      <c r="I203" s="209" t="s">
        <v>50</v>
      </c>
      <c r="J203" s="19"/>
      <c r="K203" s="19"/>
      <c r="L203" s="19"/>
      <c r="M203" s="19"/>
    </row>
    <row r="204" spans="1:21">
      <c r="A204" s="206">
        <f ca="1">IFERROR(INDIRECT("fixtures!" &amp; Dashboard!J1 &amp;149) - Dashboard!K1/24,"TBC")</f>
        <v>45997.625</v>
      </c>
      <c r="B204" s="207" t="s">
        <v>12</v>
      </c>
      <c r="C204" s="19"/>
      <c r="D204" s="207" t="str">
        <f>IF(ISBLANK(fixtures!$K149),"",fixtures!$K149)</f>
        <v/>
      </c>
      <c r="E204" s="208" t="str">
        <f>IF(ISBLANK(fixtures!$L149),"",":")</f>
        <v/>
      </c>
      <c r="F204" s="209" t="str">
        <f>IF(ISBLANK(fixtures!$L149),"",fixtures!$L149)</f>
        <v/>
      </c>
      <c r="G204" s="19"/>
      <c r="H204" s="209" t="s">
        <v>5</v>
      </c>
      <c r="I204" s="209" t="s">
        <v>46</v>
      </c>
      <c r="J204" s="19"/>
      <c r="K204" s="19"/>
      <c r="L204" s="19"/>
      <c r="M204" s="19"/>
      <c r="N204" s="319"/>
      <c r="O204" s="319"/>
      <c r="P204" s="319"/>
      <c r="Q204" s="319"/>
      <c r="R204" s="319"/>
      <c r="S204" s="319"/>
      <c r="T204" s="319"/>
      <c r="U204" s="319"/>
    </row>
    <row r="205" spans="1:21">
      <c r="A205" s="206">
        <f ca="1">IFERROR(INDIRECT("fixtures!" &amp; Dashboard!J1 &amp;150) - Dashboard!K1/24,"TBC")</f>
        <v>45997.625</v>
      </c>
      <c r="B205" s="207" t="s">
        <v>13</v>
      </c>
      <c r="C205" s="19"/>
      <c r="D205" s="207" t="str">
        <f>IF(ISBLANK(fixtures!$K150),"",fixtures!$K150)</f>
        <v/>
      </c>
      <c r="E205" s="208" t="str">
        <f>IF(ISBLANK(fixtures!$L150),"",":")</f>
        <v/>
      </c>
      <c r="F205" s="209" t="str">
        <f>IF(ISBLANK(fixtures!$L150),"",fixtures!$L150)</f>
        <v/>
      </c>
      <c r="G205" s="19"/>
      <c r="H205" s="209" t="s">
        <v>107</v>
      </c>
      <c r="I205" s="209" t="s">
        <v>45</v>
      </c>
      <c r="J205" s="19"/>
      <c r="K205" s="19"/>
      <c r="L205" s="19"/>
      <c r="M205" s="19"/>
    </row>
    <row r="206" spans="1:21">
      <c r="A206" s="206">
        <f ca="1">IFERROR(INDIRECT("fixtures!" &amp; Dashboard!J1 &amp;151) - Dashboard!K1/24,"TBC")</f>
        <v>45997.625</v>
      </c>
      <c r="B206" s="207" t="s">
        <v>15</v>
      </c>
      <c r="C206" s="19"/>
      <c r="D206" s="207" t="str">
        <f>IF(ISBLANK(fixtures!$K151),"",fixtures!$K151)</f>
        <v/>
      </c>
      <c r="E206" s="208" t="str">
        <f>IF(ISBLANK(fixtures!$L151),"",":")</f>
        <v/>
      </c>
      <c r="F206" s="209" t="str">
        <f>IF(ISBLANK(fixtures!$L151),"",fixtures!$L151)</f>
        <v/>
      </c>
      <c r="G206" s="19"/>
      <c r="H206" s="209" t="s">
        <v>11</v>
      </c>
      <c r="I206" s="209" t="s">
        <v>52</v>
      </c>
      <c r="J206" s="19"/>
      <c r="K206" s="19"/>
      <c r="L206" s="19"/>
      <c r="M206" s="19"/>
    </row>
    <row r="207" spans="1:21">
      <c r="A207" s="210" t="str">
        <f>Dashboard!D1 &amp; " Time"</f>
        <v>London Time</v>
      </c>
      <c r="B207" s="19"/>
      <c r="C207" s="19"/>
      <c r="D207" s="19"/>
      <c r="E207" s="19"/>
      <c r="F207" s="19"/>
      <c r="G207" s="19"/>
      <c r="H207" s="19"/>
      <c r="I207" s="296" t="s">
        <v>442</v>
      </c>
      <c r="J207" s="19"/>
      <c r="K207" s="19"/>
      <c r="L207" s="19"/>
      <c r="M207" s="19"/>
    </row>
    <row r="208" spans="1:21" ht="31.5">
      <c r="A208" s="24"/>
      <c r="B208" s="24"/>
      <c r="C208" s="24"/>
      <c r="D208" s="24"/>
      <c r="E208" s="24"/>
      <c r="F208" s="24"/>
      <c r="G208" s="24"/>
      <c r="H208" s="84" t="s">
        <v>67</v>
      </c>
      <c r="I208" s="24"/>
      <c r="J208" s="24"/>
      <c r="K208" s="24"/>
      <c r="L208" s="24"/>
      <c r="M208" s="24"/>
    </row>
    <row r="209" spans="1:21">
      <c r="A209" s="162" t="s">
        <v>577</v>
      </c>
      <c r="B209" s="163"/>
      <c r="C209" s="163"/>
      <c r="D209" s="163"/>
      <c r="E209" s="163"/>
      <c r="F209" s="163"/>
      <c r="G209" s="163"/>
      <c r="H209" s="163"/>
      <c r="I209" s="163"/>
      <c r="J209" s="163"/>
      <c r="K209" s="163"/>
      <c r="L209" s="163"/>
      <c r="M209" s="163"/>
    </row>
    <row r="210" spans="1:21">
      <c r="A210" s="140">
        <f ca="1">IFERROR(INDIRECT("fixtures!" &amp; Dashboard!J1 &amp;152) - Dashboard!K1/24,"TBC")</f>
        <v>46004.625</v>
      </c>
      <c r="B210" s="85" t="s">
        <v>1</v>
      </c>
      <c r="C210" s="25"/>
      <c r="D210" s="85" t="str">
        <f>IF(ISBLANK(fixtures!$K152),"",fixtures!$K152)</f>
        <v/>
      </c>
      <c r="E210" s="86" t="str">
        <f>IF(ISBLANK(fixtures!$L152),"",":")</f>
        <v/>
      </c>
      <c r="F210" s="87" t="str">
        <f>IF(ISBLANK(fixtures!$L152),"",fixtures!$L152)</f>
        <v/>
      </c>
      <c r="G210" s="25"/>
      <c r="H210" s="87" t="s">
        <v>15</v>
      </c>
      <c r="I210" s="87" t="s">
        <v>48</v>
      </c>
      <c r="J210" s="25"/>
      <c r="K210" s="25"/>
      <c r="L210" s="25"/>
      <c r="M210" s="25"/>
      <c r="N210" s="319"/>
      <c r="O210" s="319"/>
      <c r="P210" s="319"/>
      <c r="Q210" s="319"/>
      <c r="R210" s="319"/>
      <c r="S210" s="319"/>
      <c r="T210" s="319"/>
      <c r="U210" s="319"/>
    </row>
    <row r="211" spans="1:21">
      <c r="A211" s="140">
        <f ca="1">IFERROR(INDIRECT("fixtures!" &amp; Dashboard!J1 &amp;153) - Dashboard!K1/24,"TBC")</f>
        <v>46004.625</v>
      </c>
      <c r="B211" s="85" t="s">
        <v>107</v>
      </c>
      <c r="C211" s="25"/>
      <c r="D211" s="85" t="str">
        <f>IF(ISBLANK(fixtures!$K153),"",fixtures!$K153)</f>
        <v/>
      </c>
      <c r="E211" s="86" t="str">
        <f>IF(ISBLANK(fixtures!$L153),"",":")</f>
        <v/>
      </c>
      <c r="F211" s="87" t="str">
        <f>IF(ISBLANK(fixtures!$L153),"",fixtures!$L153)</f>
        <v/>
      </c>
      <c r="G211" s="25"/>
      <c r="H211" s="87" t="s">
        <v>444</v>
      </c>
      <c r="I211" s="87" t="s">
        <v>172</v>
      </c>
      <c r="J211" s="25"/>
      <c r="K211" s="25"/>
      <c r="L211" s="25"/>
      <c r="M211" s="25"/>
    </row>
    <row r="212" spans="1:21">
      <c r="A212" s="140">
        <f ca="1">IFERROR(INDIRECT("fixtures!" &amp; Dashboard!J1 &amp;154) - Dashboard!K1/24,"TBC")</f>
        <v>46004.625</v>
      </c>
      <c r="B212" s="85" t="s">
        <v>5</v>
      </c>
      <c r="C212" s="25"/>
      <c r="D212" s="85" t="str">
        <f>IF(ISBLANK(fixtures!$K154),"",fixtures!$K154)</f>
        <v/>
      </c>
      <c r="E212" s="86" t="str">
        <f>IF(ISBLANK(fixtures!$L154),"",":")</f>
        <v/>
      </c>
      <c r="F212" s="87" t="str">
        <f>IF(ISBLANK(fixtures!$L154),"",fixtures!$L154)</f>
        <v/>
      </c>
      <c r="G212" s="25"/>
      <c r="H212" s="87" t="s">
        <v>108</v>
      </c>
      <c r="I212" s="87" t="s">
        <v>451</v>
      </c>
      <c r="J212" s="25"/>
      <c r="K212" s="25"/>
      <c r="L212" s="25"/>
      <c r="M212" s="25"/>
    </row>
    <row r="213" spans="1:21">
      <c r="A213" s="140">
        <f ca="1">IFERROR(INDIRECT("fixtures!" &amp; Dashboard!J1 &amp;155) - Dashboard!K1/24,"TBC")</f>
        <v>46004.625</v>
      </c>
      <c r="B213" s="85" t="s">
        <v>6</v>
      </c>
      <c r="C213" s="25"/>
      <c r="D213" s="85" t="str">
        <f>IF(ISBLANK(fixtures!$K155),"",fixtures!$K155)</f>
        <v/>
      </c>
      <c r="E213" s="86" t="str">
        <f>IF(ISBLANK(fixtures!$L155),"",":")</f>
        <v/>
      </c>
      <c r="F213" s="87" t="str">
        <f>IF(ISBLANK(fixtures!$L155),"",fixtures!$L155)</f>
        <v/>
      </c>
      <c r="G213" s="25"/>
      <c r="H213" s="87" t="s">
        <v>8</v>
      </c>
      <c r="I213" s="87" t="s">
        <v>51</v>
      </c>
      <c r="J213" s="25"/>
      <c r="K213" s="25"/>
      <c r="L213" s="25"/>
      <c r="M213" s="25"/>
    </row>
    <row r="214" spans="1:21">
      <c r="A214" s="140">
        <f ca="1">IFERROR(INDIRECT("fixtures!" &amp; Dashboard!J1 &amp;156) - Dashboard!K1/24,"TBC")</f>
        <v>46004.625</v>
      </c>
      <c r="B214" s="85" t="s">
        <v>7</v>
      </c>
      <c r="C214" s="25"/>
      <c r="D214" s="85" t="str">
        <f>IF(ISBLANK(fixtures!$K156),"",fixtures!$K156)</f>
        <v/>
      </c>
      <c r="E214" s="86" t="str">
        <f>IF(ISBLANK(fixtures!$L156),"",":")</f>
        <v/>
      </c>
      <c r="F214" s="87" t="str">
        <f>IF(ISBLANK(fixtures!$L156),"",fixtures!$L156)</f>
        <v/>
      </c>
      <c r="G214" s="25"/>
      <c r="H214" s="87" t="s">
        <v>10</v>
      </c>
      <c r="I214" s="87" t="s">
        <v>44</v>
      </c>
      <c r="J214" s="25"/>
      <c r="K214" s="25"/>
      <c r="L214" s="25"/>
      <c r="M214" s="25"/>
    </row>
    <row r="215" spans="1:21">
      <c r="A215" s="140">
        <f ca="1">IFERROR(INDIRECT("fixtures!" &amp; Dashboard!J1 &amp;157) - Dashboard!K1/24,"TBC")</f>
        <v>46004.625</v>
      </c>
      <c r="B215" s="85" t="s">
        <v>9</v>
      </c>
      <c r="C215" s="25"/>
      <c r="D215" s="85" t="str">
        <f>IF(ISBLANK(fixtures!$K157),"",fixtures!$K157)</f>
        <v/>
      </c>
      <c r="E215" s="86" t="str">
        <f>IF(ISBLANK(fixtures!$L157),"",":")</f>
        <v/>
      </c>
      <c r="F215" s="87" t="str">
        <f>IF(ISBLANK(fixtures!$L157),"",fixtures!$L157)</f>
        <v/>
      </c>
      <c r="G215" s="25"/>
      <c r="H215" s="87" t="s">
        <v>4</v>
      </c>
      <c r="I215" s="87" t="s">
        <v>40</v>
      </c>
      <c r="J215" s="25"/>
      <c r="K215" s="25"/>
      <c r="L215" s="25"/>
      <c r="M215" s="25"/>
    </row>
    <row r="216" spans="1:21">
      <c r="A216" s="140">
        <f ca="1">IFERROR(INDIRECT("fixtures!" &amp; Dashboard!J1 &amp;158) - Dashboard!K1/24,"TBC")</f>
        <v>46004.625</v>
      </c>
      <c r="B216" s="85" t="s">
        <v>11</v>
      </c>
      <c r="C216" s="25"/>
      <c r="D216" s="85" t="str">
        <f>IF(ISBLANK(fixtures!$K158),"",fixtures!$K158)</f>
        <v/>
      </c>
      <c r="E216" s="86" t="str">
        <f>IF(ISBLANK(fixtures!$L158),"",":")</f>
        <v/>
      </c>
      <c r="F216" s="87" t="str">
        <f>IF(ISBLANK(fixtures!$L158),"",fixtures!$L158)</f>
        <v/>
      </c>
      <c r="G216" s="25"/>
      <c r="H216" s="87" t="s">
        <v>3</v>
      </c>
      <c r="I216" s="87" t="s">
        <v>47</v>
      </c>
      <c r="J216" s="25"/>
      <c r="K216" s="25"/>
      <c r="L216" s="25"/>
      <c r="M216" s="25"/>
    </row>
    <row r="217" spans="1:21">
      <c r="A217" s="140">
        <f ca="1">IFERROR(INDIRECT("fixtures!" &amp; Dashboard!J1 &amp;159) - Dashboard!K1/24,"TBC")</f>
        <v>46004.625</v>
      </c>
      <c r="B217" s="85" t="s">
        <v>188</v>
      </c>
      <c r="C217" s="25"/>
      <c r="D217" s="85" t="str">
        <f>IF(ISBLANK(fixtures!$K159),"",fixtures!$K159)</f>
        <v/>
      </c>
      <c r="E217" s="86" t="str">
        <f>IF(ISBLANK(fixtures!$L159),"",":")</f>
        <v/>
      </c>
      <c r="F217" s="87" t="str">
        <f>IF(ISBLANK(fixtures!$L159),"",fixtures!$L159)</f>
        <v/>
      </c>
      <c r="G217" s="25"/>
      <c r="H217" s="87" t="s">
        <v>13</v>
      </c>
      <c r="I217" s="87" t="s">
        <v>158</v>
      </c>
      <c r="J217" s="25"/>
      <c r="K217" s="25"/>
      <c r="L217" s="25"/>
      <c r="M217" s="25"/>
    </row>
    <row r="218" spans="1:21">
      <c r="A218" s="140">
        <f ca="1">IFERROR(INDIRECT("fixtures!" &amp; Dashboard!J1 &amp;160) - Dashboard!K1/24,"TBC")</f>
        <v>46004.625</v>
      </c>
      <c r="B218" s="85" t="s">
        <v>443</v>
      </c>
      <c r="C218" s="25"/>
      <c r="D218" s="85" t="str">
        <f>IF(ISBLANK(fixtures!$K160),"",fixtures!$K160)</f>
        <v/>
      </c>
      <c r="E218" s="86" t="str">
        <f>IF(ISBLANK(fixtures!$L160),"",":")</f>
        <v/>
      </c>
      <c r="F218" s="87" t="str">
        <f>IF(ISBLANK(fixtures!$L160),"",fixtures!$L160)</f>
        <v/>
      </c>
      <c r="G218" s="25"/>
      <c r="H218" s="87" t="s">
        <v>12</v>
      </c>
      <c r="I218" s="87" t="s">
        <v>448</v>
      </c>
      <c r="J218" s="25"/>
      <c r="K218" s="25"/>
      <c r="L218" s="25"/>
      <c r="M218" s="25"/>
      <c r="N218" s="319"/>
      <c r="O218" s="319"/>
      <c r="P218" s="319"/>
      <c r="Q218" s="319"/>
      <c r="R218" s="319"/>
      <c r="S218" s="319"/>
      <c r="T218" s="319"/>
      <c r="U218" s="319"/>
    </row>
    <row r="219" spans="1:21">
      <c r="A219" s="140">
        <f ca="1">IFERROR(INDIRECT("fixtures!" &amp; Dashboard!J1 &amp;161) - Dashboard!K1/24,"TBC")</f>
        <v>46004.625</v>
      </c>
      <c r="B219" s="85" t="s">
        <v>14</v>
      </c>
      <c r="C219" s="25"/>
      <c r="D219" s="85" t="str">
        <f>IF(ISBLANK(fixtures!$K161),"",fixtures!$K161)</f>
        <v/>
      </c>
      <c r="E219" s="86" t="str">
        <f>IF(ISBLANK(fixtures!$L161),"",":")</f>
        <v/>
      </c>
      <c r="F219" s="87" t="str">
        <f>IF(ISBLANK(fixtures!$L161),"",fixtures!$L161)</f>
        <v/>
      </c>
      <c r="G219" s="25"/>
      <c r="H219" s="87" t="s">
        <v>2</v>
      </c>
      <c r="I219" s="87" t="s">
        <v>42</v>
      </c>
      <c r="J219" s="25"/>
      <c r="K219" s="25"/>
      <c r="L219" s="25"/>
      <c r="M219" s="25"/>
    </row>
    <row r="220" spans="1:21">
      <c r="A220" s="88" t="str">
        <f>Dashboard!D1 &amp; " Time"</f>
        <v>London Time</v>
      </c>
      <c r="B220" s="25"/>
      <c r="C220" s="25"/>
      <c r="D220" s="25"/>
      <c r="E220" s="25"/>
      <c r="F220" s="25"/>
      <c r="G220" s="25"/>
      <c r="H220" s="25"/>
      <c r="I220" s="297" t="s">
        <v>442</v>
      </c>
      <c r="J220" s="25"/>
      <c r="K220" s="25"/>
      <c r="L220" s="25"/>
      <c r="M220" s="25"/>
    </row>
    <row r="221" spans="1:21" ht="31.5">
      <c r="A221" s="12"/>
      <c r="B221" s="12"/>
      <c r="C221" s="12"/>
      <c r="D221" s="12"/>
      <c r="E221" s="12"/>
      <c r="F221" s="12"/>
      <c r="G221" s="12"/>
      <c r="H221" s="144" t="s">
        <v>68</v>
      </c>
      <c r="I221" s="12"/>
      <c r="J221" s="12"/>
      <c r="K221" s="12"/>
      <c r="L221" s="12"/>
      <c r="M221" s="12"/>
    </row>
    <row r="222" spans="1:21">
      <c r="A222" s="158" t="s">
        <v>578</v>
      </c>
      <c r="B222" s="159"/>
      <c r="C222" s="159"/>
      <c r="D222" s="159"/>
      <c r="E222" s="159"/>
      <c r="F222" s="159"/>
      <c r="G222" s="159"/>
      <c r="H222" s="159"/>
      <c r="I222" s="159"/>
      <c r="J222" s="159"/>
      <c r="K222" s="159"/>
      <c r="L222" s="159"/>
      <c r="M222" s="159"/>
    </row>
    <row r="223" spans="1:21">
      <c r="A223" s="145">
        <f ca="1">IFERROR(INDIRECT("fixtures!" &amp; Dashboard!J1 &amp;162) - Dashboard!K1/24,"TBC")</f>
        <v>46011.625</v>
      </c>
      <c r="B223" s="146" t="s">
        <v>2</v>
      </c>
      <c r="C223" s="13"/>
      <c r="D223" s="146" t="str">
        <f>IF(ISBLANK(fixtures!$K162),"",fixtures!$K162)</f>
        <v/>
      </c>
      <c r="E223" s="147" t="str">
        <f>IF(ISBLANK(fixtures!$L162),"",":")</f>
        <v/>
      </c>
      <c r="F223" s="148" t="str">
        <f>IF(ISBLANK(fixtures!$L162),"",fixtures!$L162)</f>
        <v/>
      </c>
      <c r="G223" s="13"/>
      <c r="H223" s="148" t="s">
        <v>11</v>
      </c>
      <c r="I223" s="148" t="s">
        <v>49</v>
      </c>
      <c r="J223" s="13"/>
      <c r="K223" s="13"/>
      <c r="L223" s="13"/>
      <c r="M223" s="13"/>
    </row>
    <row r="224" spans="1:21">
      <c r="A224" s="145">
        <f ca="1">IFERROR(INDIRECT("fixtures!" &amp; Dashboard!J1 &amp;163) - Dashboard!K1/24,"TBC")</f>
        <v>46011.625</v>
      </c>
      <c r="B224" s="146" t="s">
        <v>3</v>
      </c>
      <c r="C224" s="13"/>
      <c r="D224" s="146" t="str">
        <f>IF(ISBLANK(fixtures!$K163),"",fixtures!$K163)</f>
        <v/>
      </c>
      <c r="E224" s="147" t="str">
        <f>IF(ISBLANK(fixtures!$L163),"",":")</f>
        <v/>
      </c>
      <c r="F224" s="148" t="str">
        <f>IF(ISBLANK(fixtures!$L163),"",fixtures!$L163)</f>
        <v/>
      </c>
      <c r="G224" s="13"/>
      <c r="H224" s="148" t="s">
        <v>5</v>
      </c>
      <c r="I224" s="148" t="s">
        <v>43</v>
      </c>
      <c r="J224" s="13"/>
      <c r="K224" s="13"/>
      <c r="L224" s="13"/>
      <c r="M224" s="13"/>
    </row>
    <row r="225" spans="1:21">
      <c r="A225" s="145">
        <f ca="1">IFERROR(INDIRECT("fixtures!" &amp; Dashboard!J1 &amp;164) - Dashboard!K1/24,"TBC")</f>
        <v>46011.625</v>
      </c>
      <c r="B225" s="146" t="s">
        <v>4</v>
      </c>
      <c r="C225" s="13"/>
      <c r="D225" s="146" t="str">
        <f>IF(ISBLANK(fixtures!$K164),"",fixtures!$K164)</f>
        <v/>
      </c>
      <c r="E225" s="147" t="str">
        <f>IF(ISBLANK(fixtures!$L164),"",":")</f>
        <v/>
      </c>
      <c r="F225" s="148" t="str">
        <f>IF(ISBLANK(fixtures!$L164),"",fixtures!$L164)</f>
        <v/>
      </c>
      <c r="G225" s="13"/>
      <c r="H225" s="148" t="s">
        <v>443</v>
      </c>
      <c r="I225" s="148" t="s">
        <v>217</v>
      </c>
      <c r="J225" s="13"/>
      <c r="K225" s="13"/>
      <c r="L225" s="13"/>
      <c r="M225" s="13"/>
    </row>
    <row r="226" spans="1:21">
      <c r="A226" s="145">
        <f ca="1">IFERROR(INDIRECT("fixtures!" &amp; Dashboard!J1 &amp;165) - Dashboard!K1/24,"TBC")</f>
        <v>46011.625</v>
      </c>
      <c r="B226" s="146" t="s">
        <v>8</v>
      </c>
      <c r="C226" s="13"/>
      <c r="D226" s="146" t="str">
        <f>IF(ISBLANK(fixtures!$K165),"",fixtures!$K165)</f>
        <v/>
      </c>
      <c r="E226" s="147" t="str">
        <f>IF(ISBLANK(fixtures!$L165),"",":")</f>
        <v/>
      </c>
      <c r="F226" s="148" t="str">
        <f>IF(ISBLANK(fixtures!$L165),"",fixtures!$L165)</f>
        <v/>
      </c>
      <c r="G226" s="13"/>
      <c r="H226" s="148" t="s">
        <v>1</v>
      </c>
      <c r="I226" s="148" t="s">
        <v>452</v>
      </c>
      <c r="J226" s="13"/>
      <c r="K226" s="13"/>
      <c r="L226" s="13"/>
      <c r="M226" s="13"/>
    </row>
    <row r="227" spans="1:21">
      <c r="A227" s="145">
        <f ca="1">IFERROR(INDIRECT("fixtures!" &amp; Dashboard!J1 &amp;166) - Dashboard!K1/24,"TBC")</f>
        <v>46011.625</v>
      </c>
      <c r="B227" s="146" t="s">
        <v>108</v>
      </c>
      <c r="C227" s="13"/>
      <c r="D227" s="146" t="str">
        <f>IF(ISBLANK(fixtures!$K166),"",fixtures!$K166)</f>
        <v/>
      </c>
      <c r="E227" s="147" t="str">
        <f>IF(ISBLANK(fixtures!$L166),"",":")</f>
        <v/>
      </c>
      <c r="F227" s="148" t="str">
        <f>IF(ISBLANK(fixtures!$L166),"",fixtures!$L166)</f>
        <v/>
      </c>
      <c r="G227" s="13"/>
      <c r="H227" s="148" t="s">
        <v>188</v>
      </c>
      <c r="I227" s="148" t="s">
        <v>157</v>
      </c>
      <c r="J227" s="13"/>
      <c r="K227" s="13"/>
      <c r="L227" s="13"/>
      <c r="M227" s="13"/>
      <c r="N227" s="319"/>
      <c r="O227" s="319"/>
      <c r="P227" s="319"/>
      <c r="Q227" s="319"/>
      <c r="R227" s="319"/>
      <c r="S227" s="319"/>
      <c r="T227" s="319"/>
      <c r="U227" s="319"/>
    </row>
    <row r="228" spans="1:21">
      <c r="A228" s="145">
        <f ca="1">IFERROR(INDIRECT("fixtures!" &amp; Dashboard!J1 &amp;167) - Dashboard!K1/24,"TBC")</f>
        <v>46011.625</v>
      </c>
      <c r="B228" s="146" t="s">
        <v>444</v>
      </c>
      <c r="C228" s="13"/>
      <c r="D228" s="146" t="str">
        <f>IF(ISBLANK(fixtures!$K167),"",fixtures!$K167)</f>
        <v/>
      </c>
      <c r="E228" s="147" t="str">
        <f>IF(ISBLANK(fixtures!$L167),"",":")</f>
        <v/>
      </c>
      <c r="F228" s="148" t="str">
        <f>IF(ISBLANK(fixtures!$L167),"",fixtures!$L167)</f>
        <v/>
      </c>
      <c r="G228" s="13"/>
      <c r="H228" s="148" t="s">
        <v>7</v>
      </c>
      <c r="I228" s="148" t="s">
        <v>449</v>
      </c>
      <c r="J228" s="13"/>
      <c r="K228" s="13"/>
      <c r="L228" s="13"/>
      <c r="M228" s="13"/>
    </row>
    <row r="229" spans="1:21">
      <c r="A229" s="145">
        <f ca="1">IFERROR(INDIRECT("fixtures!" &amp; Dashboard!J1 &amp;168) - Dashboard!K1/24,"TBC")</f>
        <v>46011.625</v>
      </c>
      <c r="B229" s="146" t="s">
        <v>10</v>
      </c>
      <c r="C229" s="13"/>
      <c r="D229" s="146" t="str">
        <f>IF(ISBLANK(fixtures!$K168),"",fixtures!$K168)</f>
        <v/>
      </c>
      <c r="E229" s="147" t="str">
        <f>IF(ISBLANK(fixtures!$L168),"",":")</f>
        <v/>
      </c>
      <c r="F229" s="148" t="str">
        <f>IF(ISBLANK(fixtures!$L168),"",fixtures!$L168)</f>
        <v/>
      </c>
      <c r="G229" s="13"/>
      <c r="H229" s="148" t="s">
        <v>14</v>
      </c>
      <c r="I229" s="148" t="s">
        <v>50</v>
      </c>
      <c r="J229" s="13"/>
      <c r="K229" s="13"/>
      <c r="L229" s="13"/>
      <c r="M229" s="13"/>
    </row>
    <row r="230" spans="1:21">
      <c r="A230" s="145">
        <f ca="1">IFERROR(INDIRECT("fixtures!" &amp; Dashboard!J1 &amp;169) - Dashboard!K1/24,"TBC")</f>
        <v>46011.625</v>
      </c>
      <c r="B230" s="146" t="s">
        <v>12</v>
      </c>
      <c r="C230" s="13"/>
      <c r="D230" s="146" t="str">
        <f>IF(ISBLANK(fixtures!$K169),"",fixtures!$K169)</f>
        <v/>
      </c>
      <c r="E230" s="147" t="str">
        <f>IF(ISBLANK(fixtures!$L169),"",":")</f>
        <v/>
      </c>
      <c r="F230" s="148" t="str">
        <f>IF(ISBLANK(fixtures!$L169),"",fixtures!$L169)</f>
        <v/>
      </c>
      <c r="G230" s="13"/>
      <c r="H230" s="148" t="s">
        <v>6</v>
      </c>
      <c r="I230" s="148" t="s">
        <v>46</v>
      </c>
      <c r="J230" s="13"/>
      <c r="K230" s="13"/>
      <c r="L230" s="13"/>
      <c r="M230" s="13"/>
    </row>
    <row r="231" spans="1:21">
      <c r="A231" s="145">
        <f ca="1">IFERROR(INDIRECT("fixtures!" &amp; Dashboard!J1 &amp;170) - Dashboard!K1/24,"TBC")</f>
        <v>46011.625</v>
      </c>
      <c r="B231" s="146" t="s">
        <v>13</v>
      </c>
      <c r="C231" s="13"/>
      <c r="D231" s="146" t="str">
        <f>IF(ISBLANK(fixtures!$K170),"",fixtures!$K170)</f>
        <v/>
      </c>
      <c r="E231" s="147" t="str">
        <f>IF(ISBLANK(fixtures!$L170),"",":")</f>
        <v/>
      </c>
      <c r="F231" s="148" t="str">
        <f>IF(ISBLANK(fixtures!$L170),"",fixtures!$L170)</f>
        <v/>
      </c>
      <c r="G231" s="13"/>
      <c r="H231" s="148" t="s">
        <v>9</v>
      </c>
      <c r="I231" s="148" t="s">
        <v>45</v>
      </c>
      <c r="J231" s="13"/>
      <c r="K231" s="13"/>
      <c r="L231" s="13"/>
      <c r="M231" s="13"/>
    </row>
    <row r="232" spans="1:21">
      <c r="A232" s="145">
        <f ca="1">IFERROR(INDIRECT("fixtures!" &amp; Dashboard!J1 &amp;171) - Dashboard!K1/24,"TBC")</f>
        <v>46011.625</v>
      </c>
      <c r="B232" s="146" t="s">
        <v>15</v>
      </c>
      <c r="C232" s="13"/>
      <c r="D232" s="146" t="str">
        <f>IF(ISBLANK(fixtures!$K171),"",fixtures!$K171)</f>
        <v/>
      </c>
      <c r="E232" s="147" t="str">
        <f>IF(ISBLANK(fixtures!$L171),"",":")</f>
        <v/>
      </c>
      <c r="F232" s="148" t="str">
        <f>IF(ISBLANK(fixtures!$L171),"",fixtures!$L171)</f>
        <v/>
      </c>
      <c r="G232" s="13"/>
      <c r="H232" s="148" t="s">
        <v>107</v>
      </c>
      <c r="I232" s="148" t="s">
        <v>52</v>
      </c>
      <c r="J232" s="13"/>
      <c r="K232" s="13"/>
      <c r="L232" s="13"/>
      <c r="M232" s="13"/>
      <c r="N232" s="319"/>
      <c r="O232" s="319"/>
      <c r="P232" s="319"/>
      <c r="Q232" s="319"/>
      <c r="R232" s="319"/>
      <c r="S232" s="319"/>
      <c r="T232" s="319"/>
      <c r="U232" s="319"/>
    </row>
    <row r="233" spans="1:21">
      <c r="A233" s="149" t="str">
        <f>Dashboard!D1 &amp; " Time"</f>
        <v>London Time</v>
      </c>
      <c r="B233" s="13"/>
      <c r="C233" s="13"/>
      <c r="D233" s="13"/>
      <c r="E233" s="13"/>
      <c r="F233" s="13"/>
      <c r="G233" s="13"/>
      <c r="H233" s="13"/>
      <c r="I233" s="295" t="s">
        <v>442</v>
      </c>
      <c r="J233" s="13"/>
      <c r="K233" s="13"/>
      <c r="L233" s="13"/>
      <c r="M233" s="13"/>
    </row>
    <row r="234" spans="1:21" ht="31.5">
      <c r="A234" s="28"/>
      <c r="B234" s="28"/>
      <c r="C234" s="28"/>
      <c r="D234" s="28"/>
      <c r="E234" s="28"/>
      <c r="F234" s="28"/>
      <c r="G234" s="28"/>
      <c r="H234" s="91" t="s">
        <v>69</v>
      </c>
      <c r="I234" s="28"/>
      <c r="J234" s="28"/>
      <c r="K234" s="28"/>
      <c r="L234" s="28"/>
      <c r="M234" s="28"/>
    </row>
    <row r="235" spans="1:21">
      <c r="A235" s="164" t="s">
        <v>579</v>
      </c>
      <c r="B235" s="165"/>
      <c r="C235" s="165"/>
      <c r="D235" s="165"/>
      <c r="E235" s="165"/>
      <c r="F235" s="165"/>
      <c r="G235" s="165"/>
      <c r="H235" s="165"/>
      <c r="I235" s="165"/>
      <c r="J235" s="165"/>
      <c r="K235" s="165"/>
      <c r="L235" s="165"/>
      <c r="M235" s="165"/>
    </row>
    <row r="236" spans="1:21">
      <c r="A236" s="141">
        <f ca="1">IFERROR(INDIRECT("fixtures!" &amp; Dashboard!J1 &amp;172) - Dashboard!K1/24,"TBC")</f>
        <v>46018.625</v>
      </c>
      <c r="B236" s="92" t="s">
        <v>1</v>
      </c>
      <c r="C236" s="29"/>
      <c r="D236" s="92" t="str">
        <f>IF(ISBLANK(fixtures!$K172),"",fixtures!$K172)</f>
        <v/>
      </c>
      <c r="E236" s="93" t="str">
        <f>IF(ISBLANK(fixtures!$L172),"",":")</f>
        <v/>
      </c>
      <c r="F236" s="94" t="str">
        <f>IF(ISBLANK(fixtures!$L172),"",fixtures!$L172)</f>
        <v/>
      </c>
      <c r="G236" s="29"/>
      <c r="H236" s="94" t="s">
        <v>4</v>
      </c>
      <c r="I236" s="94" t="s">
        <v>48</v>
      </c>
      <c r="J236" s="29"/>
      <c r="K236" s="29"/>
      <c r="L236" s="29"/>
      <c r="M236" s="29"/>
    </row>
    <row r="237" spans="1:21">
      <c r="A237" s="141">
        <f ca="1">IFERROR(INDIRECT("fixtures!" &amp; Dashboard!J1 &amp;173) - Dashboard!K1/24,"TBC")</f>
        <v>46018.625</v>
      </c>
      <c r="B237" s="92" t="s">
        <v>107</v>
      </c>
      <c r="C237" s="29"/>
      <c r="D237" s="92" t="str">
        <f>IF(ISBLANK(fixtures!$K173),"",fixtures!$K173)</f>
        <v/>
      </c>
      <c r="E237" s="93" t="str">
        <f>IF(ISBLANK(fixtures!$L173),"",":")</f>
        <v/>
      </c>
      <c r="F237" s="94" t="str">
        <f>IF(ISBLANK(fixtures!$L173),"",fixtures!$L173)</f>
        <v/>
      </c>
      <c r="G237" s="29"/>
      <c r="H237" s="94" t="s">
        <v>3</v>
      </c>
      <c r="I237" s="94" t="s">
        <v>172</v>
      </c>
      <c r="J237" s="29"/>
      <c r="K237" s="29"/>
      <c r="L237" s="29"/>
      <c r="M237" s="29"/>
    </row>
    <row r="238" spans="1:21">
      <c r="A238" s="141">
        <f ca="1">IFERROR(INDIRECT("fixtures!" &amp; Dashboard!J1 &amp;174) - Dashboard!K1/24,"TBC")</f>
        <v>46018.625</v>
      </c>
      <c r="B238" s="92" t="s">
        <v>5</v>
      </c>
      <c r="C238" s="29"/>
      <c r="D238" s="92" t="str">
        <f>IF(ISBLANK(fixtures!$K174),"",fixtures!$K174)</f>
        <v/>
      </c>
      <c r="E238" s="93" t="str">
        <f>IF(ISBLANK(fixtures!$L174),"",":")</f>
        <v/>
      </c>
      <c r="F238" s="94" t="str">
        <f>IF(ISBLANK(fixtures!$L174),"",fixtures!$L174)</f>
        <v/>
      </c>
      <c r="G238" s="29"/>
      <c r="H238" s="94" t="s">
        <v>8</v>
      </c>
      <c r="I238" s="94" t="s">
        <v>451</v>
      </c>
      <c r="J238" s="29"/>
      <c r="K238" s="29"/>
      <c r="L238" s="29"/>
      <c r="M238" s="29"/>
    </row>
    <row r="239" spans="1:21">
      <c r="A239" s="141">
        <f ca="1">IFERROR(INDIRECT("fixtures!" &amp; Dashboard!J1 &amp;175) - Dashboard!K1/24,"TBC")</f>
        <v>46018.625</v>
      </c>
      <c r="B239" s="92" t="s">
        <v>6</v>
      </c>
      <c r="C239" s="29"/>
      <c r="D239" s="92" t="str">
        <f>IF(ISBLANK(fixtures!$K175),"",fixtures!$K175)</f>
        <v/>
      </c>
      <c r="E239" s="93" t="str">
        <f>IF(ISBLANK(fixtures!$L175),"",":")</f>
        <v/>
      </c>
      <c r="F239" s="94" t="str">
        <f>IF(ISBLANK(fixtures!$L175),"",fixtures!$L175)</f>
        <v/>
      </c>
      <c r="G239" s="29"/>
      <c r="H239" s="94" t="s">
        <v>2</v>
      </c>
      <c r="I239" s="94" t="s">
        <v>51</v>
      </c>
      <c r="J239" s="29"/>
      <c r="K239" s="29"/>
      <c r="L239" s="29"/>
      <c r="M239" s="29"/>
    </row>
    <row r="240" spans="1:21">
      <c r="A240" s="141">
        <f ca="1">IFERROR(INDIRECT("fixtures!" &amp; Dashboard!J1 &amp;176) - Dashboard!K1/24,"TBC")</f>
        <v>46018.625</v>
      </c>
      <c r="B240" s="92" t="s">
        <v>7</v>
      </c>
      <c r="C240" s="29"/>
      <c r="D240" s="92" t="str">
        <f>IF(ISBLANK(fixtures!$K176),"",fixtures!$K176)</f>
        <v/>
      </c>
      <c r="E240" s="93" t="str">
        <f>IF(ISBLANK(fixtures!$L176),"",":")</f>
        <v/>
      </c>
      <c r="F240" s="94" t="str">
        <f>IF(ISBLANK(fixtures!$L176),"",fixtures!$L176)</f>
        <v/>
      </c>
      <c r="G240" s="29"/>
      <c r="H240" s="94" t="s">
        <v>13</v>
      </c>
      <c r="I240" s="94" t="s">
        <v>44</v>
      </c>
      <c r="J240" s="29"/>
      <c r="K240" s="29"/>
      <c r="L240" s="29"/>
      <c r="M240" s="29"/>
      <c r="N240" s="319"/>
      <c r="O240" s="319"/>
      <c r="P240" s="319"/>
      <c r="Q240" s="319"/>
      <c r="R240" s="319"/>
      <c r="S240" s="319"/>
      <c r="T240" s="319"/>
      <c r="U240" s="319"/>
    </row>
    <row r="241" spans="1:21">
      <c r="A241" s="141">
        <f ca="1">IFERROR(INDIRECT("fixtures!" &amp; Dashboard!J1 &amp;177) - Dashboard!K1/24,"TBC")</f>
        <v>46018.625</v>
      </c>
      <c r="B241" s="92" t="s">
        <v>9</v>
      </c>
      <c r="C241" s="29"/>
      <c r="D241" s="92" t="str">
        <f>IF(ISBLANK(fixtures!$K177),"",fixtures!$K177)</f>
        <v/>
      </c>
      <c r="E241" s="93" t="str">
        <f>IF(ISBLANK(fixtures!$L177),"",":")</f>
        <v/>
      </c>
      <c r="F241" s="94" t="str">
        <f>IF(ISBLANK(fixtures!$L177),"",fixtures!$L177)</f>
        <v/>
      </c>
      <c r="G241" s="29"/>
      <c r="H241" s="94" t="s">
        <v>15</v>
      </c>
      <c r="I241" s="94" t="s">
        <v>40</v>
      </c>
      <c r="J241" s="29"/>
      <c r="K241" s="29"/>
      <c r="L241" s="29"/>
      <c r="M241" s="29"/>
    </row>
    <row r="242" spans="1:21">
      <c r="A242" s="141">
        <f ca="1">IFERROR(INDIRECT("fixtures!" &amp; Dashboard!J1 &amp;178) - Dashboard!K1/24,"TBC")</f>
        <v>46018.625</v>
      </c>
      <c r="B242" s="92" t="s">
        <v>11</v>
      </c>
      <c r="C242" s="29"/>
      <c r="D242" s="92" t="str">
        <f>IF(ISBLANK(fixtures!$K178),"",fixtures!$K178)</f>
        <v/>
      </c>
      <c r="E242" s="93" t="str">
        <f>IF(ISBLANK(fixtures!$L178),"",":")</f>
        <v/>
      </c>
      <c r="F242" s="94" t="str">
        <f>IF(ISBLANK(fixtures!$L178),"",fixtures!$L178)</f>
        <v/>
      </c>
      <c r="G242" s="29"/>
      <c r="H242" s="94" t="s">
        <v>12</v>
      </c>
      <c r="I242" s="94" t="s">
        <v>47</v>
      </c>
      <c r="J242" s="29"/>
      <c r="K242" s="29"/>
      <c r="L242" s="29"/>
      <c r="M242" s="29"/>
    </row>
    <row r="243" spans="1:21">
      <c r="A243" s="141">
        <f ca="1">IFERROR(INDIRECT("fixtures!" &amp; Dashboard!J1 &amp;179) - Dashboard!K1/24,"TBC")</f>
        <v>46018.625</v>
      </c>
      <c r="B243" s="92" t="s">
        <v>188</v>
      </c>
      <c r="C243" s="29"/>
      <c r="D243" s="92" t="str">
        <f>IF(ISBLANK(fixtures!$K179),"",fixtures!$K179)</f>
        <v/>
      </c>
      <c r="E243" s="93" t="str">
        <f>IF(ISBLANK(fixtures!$L179),"",":")</f>
        <v/>
      </c>
      <c r="F243" s="94" t="str">
        <f>IF(ISBLANK(fixtures!$L179),"",fixtures!$L179)</f>
        <v/>
      </c>
      <c r="G243" s="29"/>
      <c r="H243" s="94" t="s">
        <v>10</v>
      </c>
      <c r="I243" s="94" t="s">
        <v>158</v>
      </c>
      <c r="J243" s="29"/>
      <c r="K243" s="29"/>
      <c r="L243" s="29"/>
      <c r="M243" s="29"/>
      <c r="N243" s="319"/>
      <c r="O243" s="319"/>
      <c r="P243" s="319"/>
      <c r="Q243" s="319"/>
      <c r="R243" s="319"/>
      <c r="S243" s="319"/>
      <c r="T243" s="319"/>
      <c r="U243" s="319"/>
    </row>
    <row r="244" spans="1:21">
      <c r="A244" s="141">
        <f ca="1">IFERROR(INDIRECT("fixtures!" &amp; Dashboard!J1 &amp;180) - Dashboard!K1/24,"TBC")</f>
        <v>46018.625</v>
      </c>
      <c r="B244" s="92" t="s">
        <v>443</v>
      </c>
      <c r="C244" s="29"/>
      <c r="D244" s="92" t="str">
        <f>IF(ISBLANK(fixtures!$K180),"",fixtures!$K180)</f>
        <v/>
      </c>
      <c r="E244" s="93" t="str">
        <f>IF(ISBLANK(fixtures!$L180),"",":")</f>
        <v/>
      </c>
      <c r="F244" s="94" t="str">
        <f>IF(ISBLANK(fixtures!$L180),"",fixtures!$L180)</f>
        <v/>
      </c>
      <c r="G244" s="29"/>
      <c r="H244" s="94" t="s">
        <v>444</v>
      </c>
      <c r="I244" s="94" t="s">
        <v>448</v>
      </c>
      <c r="J244" s="29"/>
      <c r="K244" s="29"/>
      <c r="L244" s="29"/>
      <c r="M244" s="29"/>
    </row>
    <row r="245" spans="1:21">
      <c r="A245" s="141">
        <f ca="1">IFERROR(INDIRECT("fixtures!" &amp; Dashboard!J1 &amp;181) - Dashboard!K1/24,"TBC")</f>
        <v>46018.625</v>
      </c>
      <c r="B245" s="92" t="s">
        <v>14</v>
      </c>
      <c r="C245" s="29"/>
      <c r="D245" s="92" t="str">
        <f>IF(ISBLANK(fixtures!$K181),"",fixtures!$K181)</f>
        <v/>
      </c>
      <c r="E245" s="93" t="str">
        <f>IF(ISBLANK(fixtures!$L181),"",":")</f>
        <v/>
      </c>
      <c r="F245" s="94" t="str">
        <f>IF(ISBLANK(fixtures!$L181),"",fixtures!$L181)</f>
        <v/>
      </c>
      <c r="G245" s="29"/>
      <c r="H245" s="94" t="s">
        <v>108</v>
      </c>
      <c r="I245" s="94" t="s">
        <v>42</v>
      </c>
      <c r="J245" s="29"/>
      <c r="K245" s="29"/>
      <c r="L245" s="29"/>
      <c r="M245" s="29"/>
    </row>
    <row r="246" spans="1:21">
      <c r="A246" s="95" t="str">
        <f>Dashboard!D1 &amp; " Time"</f>
        <v>London Time</v>
      </c>
      <c r="B246" s="29"/>
      <c r="C246" s="29"/>
      <c r="D246" s="29"/>
      <c r="E246" s="29"/>
      <c r="F246" s="29"/>
      <c r="G246" s="29"/>
      <c r="H246" s="29"/>
      <c r="I246" s="299" t="s">
        <v>442</v>
      </c>
      <c r="J246" s="29"/>
      <c r="K246" s="29"/>
      <c r="L246" s="29"/>
      <c r="M246" s="29"/>
    </row>
    <row r="247" spans="1:21" ht="31.5">
      <c r="A247" s="20"/>
      <c r="B247" s="20"/>
      <c r="C247" s="20"/>
      <c r="D247" s="20"/>
      <c r="E247" s="20"/>
      <c r="F247" s="20"/>
      <c r="G247" s="20"/>
      <c r="H247" s="151" t="s">
        <v>70</v>
      </c>
      <c r="I247" s="20"/>
      <c r="J247" s="20"/>
      <c r="K247" s="20"/>
      <c r="L247" s="20"/>
      <c r="M247" s="20"/>
      <c r="N247" s="319"/>
      <c r="O247" s="319"/>
      <c r="P247" s="319"/>
      <c r="Q247" s="319"/>
      <c r="R247" s="319"/>
      <c r="S247" s="319"/>
      <c r="T247" s="319"/>
      <c r="U247" s="319"/>
    </row>
    <row r="248" spans="1:21">
      <c r="A248" s="160" t="s">
        <v>580</v>
      </c>
      <c r="B248" s="161"/>
      <c r="C248" s="161"/>
      <c r="D248" s="161"/>
      <c r="E248" s="161"/>
      <c r="F248" s="161"/>
      <c r="G248" s="161"/>
      <c r="H248" s="161"/>
      <c r="I248" s="161"/>
      <c r="J248" s="161"/>
      <c r="K248" s="161"/>
      <c r="L248" s="161"/>
      <c r="M248" s="161"/>
    </row>
    <row r="249" spans="1:21">
      <c r="A249" s="139">
        <f ca="1">IFERROR(INDIRECT("fixtures!" &amp; Dashboard!J1 &amp;182) - Dashboard!K1/24,"TBC")</f>
        <v>46021.833333333336</v>
      </c>
      <c r="B249" s="80" t="s">
        <v>1</v>
      </c>
      <c r="C249" s="21"/>
      <c r="D249" s="80" t="str">
        <f>IF(ISBLANK(fixtures!$K182),"",fixtures!$K182)</f>
        <v/>
      </c>
      <c r="E249" s="81" t="str">
        <f>IF(ISBLANK(fixtures!$L182),"",":")</f>
        <v/>
      </c>
      <c r="F249" s="82" t="str">
        <f>IF(ISBLANK(fixtures!$L182),"",fixtures!$L182)</f>
        <v/>
      </c>
      <c r="G249" s="21"/>
      <c r="H249" s="82" t="s">
        <v>2</v>
      </c>
      <c r="I249" s="82" t="s">
        <v>48</v>
      </c>
      <c r="J249" s="21"/>
      <c r="K249" s="21"/>
      <c r="L249" s="21"/>
      <c r="M249" s="21"/>
    </row>
    <row r="250" spans="1:21">
      <c r="A250" s="139">
        <f ca="1">IFERROR(INDIRECT("fixtures!" &amp; Dashboard!J1 &amp;183) - Dashboard!K1/24,"TBC")</f>
        <v>46021.833333333336</v>
      </c>
      <c r="B250" s="80" t="s">
        <v>107</v>
      </c>
      <c r="C250" s="21"/>
      <c r="D250" s="80" t="str">
        <f>IF(ISBLANK(fixtures!$K183),"",fixtures!$K183)</f>
        <v/>
      </c>
      <c r="E250" s="81" t="str">
        <f>IF(ISBLANK(fixtures!$L183),"",":")</f>
        <v/>
      </c>
      <c r="F250" s="82" t="str">
        <f>IF(ISBLANK(fixtures!$L183),"",fixtures!$L183)</f>
        <v/>
      </c>
      <c r="G250" s="21"/>
      <c r="H250" s="82" t="s">
        <v>13</v>
      </c>
      <c r="I250" s="82" t="s">
        <v>172</v>
      </c>
      <c r="J250" s="21"/>
      <c r="K250" s="21"/>
      <c r="L250" s="21"/>
      <c r="M250" s="21"/>
      <c r="N250" s="319"/>
      <c r="O250" s="319"/>
      <c r="P250" s="319"/>
      <c r="Q250" s="319"/>
      <c r="R250" s="319"/>
      <c r="S250" s="319"/>
      <c r="T250" s="319"/>
      <c r="U250" s="319"/>
    </row>
    <row r="251" spans="1:21">
      <c r="A251" s="139">
        <f ca="1">IFERROR(INDIRECT("fixtures!" &amp; Dashboard!J1 &amp;184) - Dashboard!K1/24,"TBC")</f>
        <v>46021.833333333336</v>
      </c>
      <c r="B251" s="80" t="s">
        <v>5</v>
      </c>
      <c r="C251" s="21"/>
      <c r="D251" s="80" t="str">
        <f>IF(ISBLANK(fixtures!$K184),"",fixtures!$K184)</f>
        <v/>
      </c>
      <c r="E251" s="81" t="str">
        <f>IF(ISBLANK(fixtures!$L184),"",":")</f>
        <v/>
      </c>
      <c r="F251" s="82" t="str">
        <f>IF(ISBLANK(fixtures!$L184),"",fixtures!$L184)</f>
        <v/>
      </c>
      <c r="G251" s="21"/>
      <c r="H251" s="82" t="s">
        <v>12</v>
      </c>
      <c r="I251" s="82" t="s">
        <v>451</v>
      </c>
      <c r="J251" s="21"/>
      <c r="K251" s="21"/>
      <c r="L251" s="21"/>
      <c r="M251" s="21"/>
    </row>
    <row r="252" spans="1:21">
      <c r="A252" s="139">
        <f ca="1">IFERROR(INDIRECT("fixtures!" &amp; Dashboard!J1 &amp;185) - Dashboard!K1/24,"TBC")</f>
        <v>46021.833333333336</v>
      </c>
      <c r="B252" s="80" t="s">
        <v>6</v>
      </c>
      <c r="C252" s="21"/>
      <c r="D252" s="80" t="str">
        <f>IF(ISBLANK(fixtures!$K185),"",fixtures!$K185)</f>
        <v/>
      </c>
      <c r="E252" s="81" t="str">
        <f>IF(ISBLANK(fixtures!$L185),"",":")</f>
        <v/>
      </c>
      <c r="F252" s="82" t="str">
        <f>IF(ISBLANK(fixtures!$L185),"",fixtures!$L185)</f>
        <v/>
      </c>
      <c r="G252" s="21"/>
      <c r="H252" s="82" t="s">
        <v>3</v>
      </c>
      <c r="I252" s="82" t="s">
        <v>51</v>
      </c>
      <c r="J252" s="21"/>
      <c r="K252" s="21"/>
      <c r="L252" s="21"/>
      <c r="M252" s="21"/>
    </row>
    <row r="253" spans="1:21">
      <c r="A253" s="139">
        <f ca="1">IFERROR(INDIRECT("fixtures!" &amp; Dashboard!J1 &amp;186) - Dashboard!K1/24,"TBC")</f>
        <v>46021.833333333336</v>
      </c>
      <c r="B253" s="80" t="s">
        <v>7</v>
      </c>
      <c r="C253" s="21"/>
      <c r="D253" s="80" t="str">
        <f>IF(ISBLANK(fixtures!$K186),"",fixtures!$K186)</f>
        <v/>
      </c>
      <c r="E253" s="81" t="str">
        <f>IF(ISBLANK(fixtures!$L186),"",":")</f>
        <v/>
      </c>
      <c r="F253" s="82" t="str">
        <f>IF(ISBLANK(fixtures!$L186),"",fixtures!$L186)</f>
        <v/>
      </c>
      <c r="G253" s="21"/>
      <c r="H253" s="82" t="s">
        <v>108</v>
      </c>
      <c r="I253" s="82" t="s">
        <v>44</v>
      </c>
      <c r="J253" s="21"/>
      <c r="K253" s="21"/>
      <c r="L253" s="21"/>
      <c r="M253" s="21"/>
    </row>
    <row r="254" spans="1:21">
      <c r="A254" s="139">
        <f ca="1">IFERROR(INDIRECT("fixtures!" &amp; Dashboard!J1 &amp;187) - Dashboard!K1/24,"TBC")</f>
        <v>46021.833333333336</v>
      </c>
      <c r="B254" s="80" t="s">
        <v>9</v>
      </c>
      <c r="C254" s="21"/>
      <c r="D254" s="80" t="str">
        <f>IF(ISBLANK(fixtures!$K187),"",fixtures!$K187)</f>
        <v/>
      </c>
      <c r="E254" s="81" t="str">
        <f>IF(ISBLANK(fixtures!$L187),"",":")</f>
        <v/>
      </c>
      <c r="F254" s="82" t="str">
        <f>IF(ISBLANK(fixtures!$L187),"",fixtures!$L187)</f>
        <v/>
      </c>
      <c r="G254" s="21"/>
      <c r="H254" s="82" t="s">
        <v>444</v>
      </c>
      <c r="I254" s="82" t="s">
        <v>40</v>
      </c>
      <c r="J254" s="21"/>
      <c r="K254" s="21"/>
      <c r="L254" s="21"/>
      <c r="M254" s="21"/>
    </row>
    <row r="255" spans="1:21">
      <c r="A255" s="139">
        <f ca="1">IFERROR(INDIRECT("fixtures!" &amp; Dashboard!J1 &amp;188) - Dashboard!K1/24,"TBC")</f>
        <v>46021.833333333336</v>
      </c>
      <c r="B255" s="80" t="s">
        <v>11</v>
      </c>
      <c r="C255" s="21"/>
      <c r="D255" s="80" t="str">
        <f>IF(ISBLANK(fixtures!$K188),"",fixtures!$K188)</f>
        <v/>
      </c>
      <c r="E255" s="81" t="str">
        <f>IF(ISBLANK(fixtures!$L188),"",":")</f>
        <v/>
      </c>
      <c r="F255" s="82" t="str">
        <f>IF(ISBLANK(fixtures!$L188),"",fixtures!$L188)</f>
        <v/>
      </c>
      <c r="G255" s="21"/>
      <c r="H255" s="82" t="s">
        <v>15</v>
      </c>
      <c r="I255" s="82" t="s">
        <v>47</v>
      </c>
      <c r="J255" s="21"/>
      <c r="K255" s="21"/>
      <c r="L255" s="21"/>
      <c r="M255" s="21"/>
    </row>
    <row r="256" spans="1:21">
      <c r="A256" s="139">
        <f ca="1">IFERROR(INDIRECT("fixtures!" &amp; Dashboard!J1 &amp;189) - Dashboard!K1/24,"TBC")</f>
        <v>46021.833333333336</v>
      </c>
      <c r="B256" s="80" t="s">
        <v>188</v>
      </c>
      <c r="C256" s="21"/>
      <c r="D256" s="80" t="str">
        <f>IF(ISBLANK(fixtures!$K189),"",fixtures!$K189)</f>
        <v/>
      </c>
      <c r="E256" s="81" t="str">
        <f>IF(ISBLANK(fixtures!$L189),"",":")</f>
        <v/>
      </c>
      <c r="F256" s="82" t="str">
        <f>IF(ISBLANK(fixtures!$L189),"",fixtures!$L189)</f>
        <v/>
      </c>
      <c r="G256" s="21"/>
      <c r="H256" s="82" t="s">
        <v>8</v>
      </c>
      <c r="I256" s="82" t="s">
        <v>158</v>
      </c>
      <c r="J256" s="21"/>
      <c r="K256" s="21"/>
      <c r="L256" s="21"/>
      <c r="M256" s="21"/>
    </row>
    <row r="257" spans="1:21">
      <c r="A257" s="139">
        <f ca="1">IFERROR(INDIRECT("fixtures!" &amp; Dashboard!J1 &amp;190) - Dashboard!K1/24,"TBC")</f>
        <v>46021.833333333336</v>
      </c>
      <c r="B257" s="80" t="s">
        <v>443</v>
      </c>
      <c r="C257" s="21"/>
      <c r="D257" s="80" t="str">
        <f>IF(ISBLANK(fixtures!$K190),"",fixtures!$K190)</f>
        <v/>
      </c>
      <c r="E257" s="81" t="str">
        <f>IF(ISBLANK(fixtures!$L190),"",":")</f>
        <v/>
      </c>
      <c r="F257" s="82" t="str">
        <f>IF(ISBLANK(fixtures!$L190),"",fixtures!$L190)</f>
        <v/>
      </c>
      <c r="G257" s="21"/>
      <c r="H257" s="82" t="s">
        <v>10</v>
      </c>
      <c r="I257" s="82" t="s">
        <v>448</v>
      </c>
      <c r="J257" s="21"/>
      <c r="K257" s="21"/>
      <c r="L257" s="21"/>
      <c r="M257" s="21"/>
      <c r="N257" s="319"/>
      <c r="O257" s="319"/>
      <c r="P257" s="319"/>
      <c r="Q257" s="319"/>
      <c r="R257" s="319"/>
      <c r="S257" s="319"/>
      <c r="T257" s="319"/>
      <c r="U257" s="319"/>
    </row>
    <row r="258" spans="1:21">
      <c r="A258" s="139">
        <f ca="1">IFERROR(INDIRECT("fixtures!" &amp; Dashboard!J1 &amp;191) - Dashboard!K1/24,"TBC")</f>
        <v>46021.833333333336</v>
      </c>
      <c r="B258" s="80" t="s">
        <v>14</v>
      </c>
      <c r="C258" s="21"/>
      <c r="D258" s="80" t="str">
        <f>IF(ISBLANK(fixtures!$K191),"",fixtures!$K191)</f>
        <v/>
      </c>
      <c r="E258" s="81" t="str">
        <f>IF(ISBLANK(fixtures!$L191),"",":")</f>
        <v/>
      </c>
      <c r="F258" s="82" t="str">
        <f>IF(ISBLANK(fixtures!$L191),"",fixtures!$L191)</f>
        <v/>
      </c>
      <c r="G258" s="21"/>
      <c r="H258" s="82" t="s">
        <v>4</v>
      </c>
      <c r="I258" s="82" t="s">
        <v>42</v>
      </c>
      <c r="J258" s="21"/>
      <c r="K258" s="21"/>
      <c r="L258" s="21"/>
      <c r="M258" s="21"/>
    </row>
    <row r="259" spans="1:21">
      <c r="A259" s="83" t="str">
        <f>Dashboard!D1 &amp; " Time"</f>
        <v>London Time</v>
      </c>
      <c r="B259" s="21"/>
      <c r="C259" s="21"/>
      <c r="D259" s="21"/>
      <c r="E259" s="21"/>
      <c r="F259" s="21"/>
      <c r="G259" s="21"/>
      <c r="H259" s="21"/>
      <c r="I259" s="298" t="s">
        <v>442</v>
      </c>
      <c r="J259" s="21"/>
      <c r="K259" s="21"/>
      <c r="L259" s="21"/>
      <c r="M259" s="21"/>
    </row>
    <row r="260" spans="1:21" ht="31.5">
      <c r="A260" s="30"/>
      <c r="B260" s="30"/>
      <c r="C260" s="30"/>
      <c r="D260" s="30"/>
      <c r="E260" s="30"/>
      <c r="F260" s="30"/>
      <c r="G260" s="30"/>
      <c r="H260" s="96" t="s">
        <v>71</v>
      </c>
      <c r="I260" s="30"/>
      <c r="J260" s="30"/>
      <c r="K260" s="30"/>
      <c r="L260" s="30"/>
      <c r="M260" s="30"/>
    </row>
    <row r="261" spans="1:21">
      <c r="A261" s="166" t="s">
        <v>581</v>
      </c>
      <c r="B261" s="167"/>
      <c r="C261" s="167"/>
      <c r="D261" s="167"/>
      <c r="E261" s="167"/>
      <c r="F261" s="167"/>
      <c r="G261" s="167"/>
      <c r="H261" s="167"/>
      <c r="I261" s="167"/>
      <c r="J261" s="167"/>
      <c r="K261" s="167"/>
      <c r="L261" s="167"/>
      <c r="M261" s="167"/>
    </row>
    <row r="262" spans="1:21">
      <c r="A262" s="142">
        <f ca="1">IFERROR(INDIRECT("fixtures!" &amp; Dashboard!J1 &amp;192) - Dashboard!K1/24,"TBC")</f>
        <v>46025.625</v>
      </c>
      <c r="B262" s="97" t="s">
        <v>2</v>
      </c>
      <c r="C262" s="31"/>
      <c r="D262" s="97" t="str">
        <f>IF(ISBLANK(fixtures!$K192),"",fixtures!$K192)</f>
        <v/>
      </c>
      <c r="E262" s="98" t="str">
        <f>IF(ISBLANK(fixtures!$L192),"",":")</f>
        <v/>
      </c>
      <c r="F262" s="99" t="str">
        <f>IF(ISBLANK(fixtures!$L192),"",fixtures!$L192)</f>
        <v/>
      </c>
      <c r="G262" s="31"/>
      <c r="H262" s="99" t="s">
        <v>188</v>
      </c>
      <c r="I262" s="99" t="s">
        <v>49</v>
      </c>
      <c r="J262" s="31"/>
      <c r="K262" s="31"/>
      <c r="L262" s="31"/>
      <c r="M262" s="31"/>
      <c r="N262" s="319"/>
      <c r="O262" s="319"/>
      <c r="P262" s="319"/>
      <c r="Q262" s="319"/>
      <c r="R262" s="319"/>
      <c r="S262" s="319"/>
      <c r="T262" s="319"/>
      <c r="U262" s="319"/>
    </row>
    <row r="263" spans="1:21">
      <c r="A263" s="142">
        <f ca="1">IFERROR(INDIRECT("fixtures!" &amp; Dashboard!J1 &amp;193) - Dashboard!K1/24,"TBC")</f>
        <v>46025.625</v>
      </c>
      <c r="B263" s="97" t="s">
        <v>3</v>
      </c>
      <c r="C263" s="31"/>
      <c r="D263" s="97" t="str">
        <f>IF(ISBLANK(fixtures!$K193),"",fixtures!$K193)</f>
        <v/>
      </c>
      <c r="E263" s="98" t="str">
        <f>IF(ISBLANK(fixtures!$L193),"",":")</f>
        <v/>
      </c>
      <c r="F263" s="99" t="str">
        <f>IF(ISBLANK(fixtures!$L193),"",fixtures!$L193)</f>
        <v/>
      </c>
      <c r="G263" s="31"/>
      <c r="H263" s="99" t="s">
        <v>1</v>
      </c>
      <c r="I263" s="99" t="s">
        <v>43</v>
      </c>
      <c r="J263" s="31"/>
      <c r="K263" s="31"/>
      <c r="L263" s="31"/>
      <c r="M263" s="31"/>
    </row>
    <row r="264" spans="1:21">
      <c r="A264" s="142">
        <f ca="1">IFERROR(INDIRECT("fixtures!" &amp; Dashboard!J1 &amp;194) - Dashboard!K1/24,"TBC")</f>
        <v>46025.625</v>
      </c>
      <c r="B264" s="97" t="s">
        <v>4</v>
      </c>
      <c r="C264" s="31"/>
      <c r="D264" s="97" t="str">
        <f>IF(ISBLANK(fixtures!$K194),"",fixtures!$K194)</f>
        <v/>
      </c>
      <c r="E264" s="98" t="str">
        <f>IF(ISBLANK(fixtures!$L194),"",":")</f>
        <v/>
      </c>
      <c r="F264" s="99" t="str">
        <f>IF(ISBLANK(fixtures!$L194),"",fixtures!$L194)</f>
        <v/>
      </c>
      <c r="G264" s="31"/>
      <c r="H264" s="99" t="s">
        <v>5</v>
      </c>
      <c r="I264" s="99" t="s">
        <v>217</v>
      </c>
      <c r="J264" s="31"/>
      <c r="K264" s="31"/>
      <c r="L264" s="31"/>
      <c r="M264" s="31"/>
      <c r="N264" s="319"/>
      <c r="O264" s="319"/>
      <c r="P264" s="319"/>
      <c r="Q264" s="319"/>
      <c r="R264" s="319"/>
      <c r="S264" s="319"/>
      <c r="T264" s="319"/>
      <c r="U264" s="319"/>
    </row>
    <row r="265" spans="1:21">
      <c r="A265" s="142">
        <f ca="1">IFERROR(INDIRECT("fixtures!" &amp; Dashboard!J1 &amp;195) - Dashboard!K1/24,"TBC")</f>
        <v>46025.625</v>
      </c>
      <c r="B265" s="97" t="s">
        <v>8</v>
      </c>
      <c r="C265" s="31"/>
      <c r="D265" s="97" t="str">
        <f>IF(ISBLANK(fixtures!$K195),"",fixtures!$K195)</f>
        <v/>
      </c>
      <c r="E265" s="98" t="str">
        <f>IF(ISBLANK(fixtures!$L195),"",":")</f>
        <v/>
      </c>
      <c r="F265" s="99" t="str">
        <f>IF(ISBLANK(fixtures!$L195),"",fixtures!$L195)</f>
        <v/>
      </c>
      <c r="G265" s="31"/>
      <c r="H265" s="99" t="s">
        <v>107</v>
      </c>
      <c r="I265" s="99" t="s">
        <v>452</v>
      </c>
      <c r="J265" s="31"/>
      <c r="K265" s="31"/>
      <c r="L265" s="31"/>
      <c r="M265" s="31"/>
    </row>
    <row r="266" spans="1:21">
      <c r="A266" s="142">
        <f ca="1">IFERROR(INDIRECT("fixtures!" &amp; Dashboard!J1 &amp;196) - Dashboard!K1/24,"TBC")</f>
        <v>46025.625</v>
      </c>
      <c r="B266" s="97" t="s">
        <v>108</v>
      </c>
      <c r="C266" s="31"/>
      <c r="D266" s="97" t="str">
        <f>IF(ISBLANK(fixtures!$K196),"",fixtures!$K196)</f>
        <v/>
      </c>
      <c r="E266" s="98" t="str">
        <f>IF(ISBLANK(fixtures!$L196),"",":")</f>
        <v/>
      </c>
      <c r="F266" s="99" t="str">
        <f>IF(ISBLANK(fixtures!$L196),"",fixtures!$L196)</f>
        <v/>
      </c>
      <c r="G266" s="31"/>
      <c r="H266" s="99" t="s">
        <v>9</v>
      </c>
      <c r="I266" s="99" t="s">
        <v>157</v>
      </c>
      <c r="J266" s="31"/>
      <c r="K266" s="31"/>
      <c r="L266" s="31"/>
      <c r="M266" s="31"/>
    </row>
    <row r="267" spans="1:21">
      <c r="A267" s="142">
        <f ca="1">IFERROR(INDIRECT("fixtures!" &amp; Dashboard!J1 &amp;197) - Dashboard!K1/24,"TBC")</f>
        <v>46025.625</v>
      </c>
      <c r="B267" s="97" t="s">
        <v>444</v>
      </c>
      <c r="C267" s="31"/>
      <c r="D267" s="97" t="str">
        <f>IF(ISBLANK(fixtures!$K197),"",fixtures!$K197)</f>
        <v/>
      </c>
      <c r="E267" s="98" t="str">
        <f>IF(ISBLANK(fixtures!$L197),"",":")</f>
        <v/>
      </c>
      <c r="F267" s="99" t="str">
        <f>IF(ISBLANK(fixtures!$L197),"",fixtures!$L197)</f>
        <v/>
      </c>
      <c r="G267" s="31"/>
      <c r="H267" s="99" t="s">
        <v>11</v>
      </c>
      <c r="I267" s="99" t="s">
        <v>449</v>
      </c>
      <c r="J267" s="31"/>
      <c r="K267" s="31"/>
      <c r="L267" s="31"/>
      <c r="M267" s="31"/>
    </row>
    <row r="268" spans="1:21">
      <c r="A268" s="142">
        <f ca="1">IFERROR(INDIRECT("fixtures!" &amp; Dashboard!J1 &amp;198) - Dashboard!K1/24,"TBC")</f>
        <v>46025.625</v>
      </c>
      <c r="B268" s="97" t="s">
        <v>10</v>
      </c>
      <c r="C268" s="31"/>
      <c r="D268" s="97" t="str">
        <f>IF(ISBLANK(fixtures!$K198),"",fixtures!$K198)</f>
        <v/>
      </c>
      <c r="E268" s="98" t="str">
        <f>IF(ISBLANK(fixtures!$L198),"",":")</f>
        <v/>
      </c>
      <c r="F268" s="99" t="str">
        <f>IF(ISBLANK(fixtures!$L198),"",fixtures!$L198)</f>
        <v/>
      </c>
      <c r="G268" s="31"/>
      <c r="H268" s="99" t="s">
        <v>6</v>
      </c>
      <c r="I268" s="99" t="s">
        <v>50</v>
      </c>
      <c r="J268" s="31"/>
      <c r="K268" s="31"/>
      <c r="L268" s="31"/>
      <c r="M268" s="31"/>
    </row>
    <row r="269" spans="1:21">
      <c r="A269" s="142">
        <f ca="1">IFERROR(INDIRECT("fixtures!" &amp; Dashboard!J1 &amp;199) - Dashboard!K1/24,"TBC")</f>
        <v>46025.625</v>
      </c>
      <c r="B269" s="97" t="s">
        <v>12</v>
      </c>
      <c r="C269" s="31"/>
      <c r="D269" s="97" t="str">
        <f>IF(ISBLANK(fixtures!$K199),"",fixtures!$K199)</f>
        <v/>
      </c>
      <c r="E269" s="98" t="str">
        <f>IF(ISBLANK(fixtures!$L199),"",":")</f>
        <v/>
      </c>
      <c r="F269" s="99" t="str">
        <f>IF(ISBLANK(fixtures!$L199),"",fixtures!$L199)</f>
        <v/>
      </c>
      <c r="G269" s="31"/>
      <c r="H269" s="99" t="s">
        <v>7</v>
      </c>
      <c r="I269" s="99" t="s">
        <v>46</v>
      </c>
      <c r="J269" s="31"/>
      <c r="K269" s="31"/>
      <c r="L269" s="31"/>
      <c r="M269" s="31"/>
      <c r="N269" s="319"/>
      <c r="O269" s="319"/>
      <c r="P269" s="319"/>
      <c r="Q269" s="319"/>
      <c r="R269" s="319"/>
      <c r="S269" s="319"/>
      <c r="T269" s="319"/>
      <c r="U269" s="319"/>
    </row>
    <row r="270" spans="1:21">
      <c r="A270" s="142">
        <f ca="1">IFERROR(INDIRECT("fixtures!" &amp; Dashboard!J1 &amp;200) - Dashboard!K1/24,"TBC")</f>
        <v>46025.625</v>
      </c>
      <c r="B270" s="97" t="s">
        <v>13</v>
      </c>
      <c r="C270" s="31"/>
      <c r="D270" s="97" t="str">
        <f>IF(ISBLANK(fixtures!$K200),"",fixtures!$K200)</f>
        <v/>
      </c>
      <c r="E270" s="98" t="str">
        <f>IF(ISBLANK(fixtures!$L200),"",":")</f>
        <v/>
      </c>
      <c r="F270" s="99" t="str">
        <f>IF(ISBLANK(fixtures!$L200),"",fixtures!$L200)</f>
        <v/>
      </c>
      <c r="G270" s="31"/>
      <c r="H270" s="99" t="s">
        <v>443</v>
      </c>
      <c r="I270" s="99" t="s">
        <v>45</v>
      </c>
      <c r="J270" s="31"/>
      <c r="K270" s="31"/>
      <c r="L270" s="31"/>
      <c r="M270" s="31"/>
    </row>
    <row r="271" spans="1:21">
      <c r="A271" s="142">
        <f ca="1">IFERROR(INDIRECT("fixtures!" &amp; Dashboard!J1 &amp;201) - Dashboard!K1/24,"TBC")</f>
        <v>46025.625</v>
      </c>
      <c r="B271" s="97" t="s">
        <v>15</v>
      </c>
      <c r="C271" s="31"/>
      <c r="D271" s="97" t="str">
        <f>IF(ISBLANK(fixtures!$K201),"",fixtures!$K201)</f>
        <v/>
      </c>
      <c r="E271" s="98" t="str">
        <f>IF(ISBLANK(fixtures!$L201),"",":")</f>
        <v/>
      </c>
      <c r="F271" s="99" t="str">
        <f>IF(ISBLANK(fixtures!$L201),"",fixtures!$L201)</f>
        <v/>
      </c>
      <c r="G271" s="31"/>
      <c r="H271" s="99" t="s">
        <v>14</v>
      </c>
      <c r="I271" s="99" t="s">
        <v>52</v>
      </c>
      <c r="J271" s="31"/>
      <c r="K271" s="31"/>
      <c r="L271" s="31"/>
      <c r="M271" s="31"/>
    </row>
    <row r="272" spans="1:21">
      <c r="A272" s="100" t="str">
        <f>Dashboard!D1 &amp; " Time"</f>
        <v>London Time</v>
      </c>
      <c r="B272" s="31"/>
      <c r="C272" s="31"/>
      <c r="D272" s="31"/>
      <c r="E272" s="31"/>
      <c r="F272" s="31"/>
      <c r="G272" s="31"/>
      <c r="H272" s="31"/>
      <c r="I272" s="300" t="s">
        <v>442</v>
      </c>
      <c r="J272" s="31"/>
      <c r="K272" s="31"/>
      <c r="L272" s="31"/>
      <c r="M272" s="31"/>
    </row>
    <row r="273" spans="1:21" ht="31.5">
      <c r="A273" s="5"/>
      <c r="B273" s="5"/>
      <c r="C273" s="5"/>
      <c r="D273" s="5"/>
      <c r="E273" s="5"/>
      <c r="F273" s="5"/>
      <c r="G273" s="5"/>
      <c r="H273" s="65" t="s">
        <v>72</v>
      </c>
      <c r="I273" s="5"/>
      <c r="J273" s="5"/>
      <c r="K273" s="5"/>
      <c r="L273" s="5"/>
      <c r="M273" s="5"/>
    </row>
    <row r="274" spans="1:21">
      <c r="A274" s="152" t="s">
        <v>582</v>
      </c>
      <c r="B274" s="153"/>
      <c r="C274" s="153"/>
      <c r="D274" s="153"/>
      <c r="E274" s="153"/>
      <c r="F274" s="153"/>
      <c r="G274" s="153"/>
      <c r="H274" s="153"/>
      <c r="I274" s="153"/>
      <c r="J274" s="153"/>
      <c r="K274" s="153"/>
      <c r="L274" s="153"/>
      <c r="M274" s="153"/>
      <c r="N274" s="319"/>
      <c r="O274" s="319"/>
      <c r="P274" s="319"/>
      <c r="Q274" s="319"/>
      <c r="R274" s="319"/>
      <c r="S274" s="319"/>
      <c r="T274" s="319"/>
      <c r="U274" s="319"/>
    </row>
    <row r="275" spans="1:21">
      <c r="A275" s="136">
        <f ca="1">IFERROR(INDIRECT("fixtures!" &amp; Dashboard!J1 &amp;202) - Dashboard!K1/24,"TBC")</f>
        <v>46029.833333333336</v>
      </c>
      <c r="B275" s="66" t="s">
        <v>1</v>
      </c>
      <c r="C275" s="6"/>
      <c r="D275" s="66" t="str">
        <f>IF(ISBLANK(fixtures!$K202),"",fixtures!$K202)</f>
        <v/>
      </c>
      <c r="E275" s="67" t="str">
        <f>IF(ISBLANK(fixtures!$L202),"",":")</f>
        <v/>
      </c>
      <c r="F275" s="68" t="str">
        <f>IF(ISBLANK(fixtures!$L202),"",fixtures!$L202)</f>
        <v/>
      </c>
      <c r="G275" s="6"/>
      <c r="H275" s="68" t="s">
        <v>9</v>
      </c>
      <c r="I275" s="68" t="s">
        <v>48</v>
      </c>
      <c r="J275" s="6"/>
      <c r="K275" s="6"/>
      <c r="L275" s="6"/>
      <c r="M275" s="6"/>
    </row>
    <row r="276" spans="1:21">
      <c r="A276" s="136">
        <f ca="1">IFERROR(INDIRECT("fixtures!" &amp; Dashboard!J1 &amp;203) - Dashboard!K1/24,"TBC")</f>
        <v>46029.833333333336</v>
      </c>
      <c r="B276" s="66" t="s">
        <v>3</v>
      </c>
      <c r="C276" s="6"/>
      <c r="D276" s="66" t="str">
        <f>IF(ISBLANK(fixtures!$K203),"",fixtures!$K203)</f>
        <v/>
      </c>
      <c r="E276" s="67" t="str">
        <f>IF(ISBLANK(fixtures!$L203),"",":")</f>
        <v/>
      </c>
      <c r="F276" s="68" t="str">
        <f>IF(ISBLANK(fixtures!$L203),"",fixtures!$L203)</f>
        <v/>
      </c>
      <c r="G276" s="6"/>
      <c r="H276" s="68" t="s">
        <v>13</v>
      </c>
      <c r="I276" s="68" t="s">
        <v>43</v>
      </c>
      <c r="J276" s="6"/>
      <c r="K276" s="6"/>
      <c r="L276" s="6"/>
      <c r="M276" s="6"/>
    </row>
    <row r="277" spans="1:21">
      <c r="A277" s="136">
        <f ca="1">IFERROR(INDIRECT("fixtures!" &amp; Dashboard!J1 &amp;204) - Dashboard!K1/24,"TBC")</f>
        <v>46029.833333333336</v>
      </c>
      <c r="B277" s="66" t="s">
        <v>107</v>
      </c>
      <c r="C277" s="6"/>
      <c r="D277" s="66" t="str">
        <f>IF(ISBLANK(fixtures!$K204),"",fixtures!$K204)</f>
        <v/>
      </c>
      <c r="E277" s="67" t="str">
        <f>IF(ISBLANK(fixtures!$L204),"",":")</f>
        <v/>
      </c>
      <c r="F277" s="68" t="str">
        <f>IF(ISBLANK(fixtures!$L204),"",fixtures!$L204)</f>
        <v/>
      </c>
      <c r="G277" s="6"/>
      <c r="H277" s="68" t="s">
        <v>443</v>
      </c>
      <c r="I277" s="68" t="s">
        <v>172</v>
      </c>
      <c r="J277" s="6"/>
      <c r="K277" s="6"/>
      <c r="L277" s="6"/>
      <c r="M277" s="6"/>
    </row>
    <row r="278" spans="1:21">
      <c r="A278" s="136">
        <f ca="1">IFERROR(INDIRECT("fixtures!" &amp; Dashboard!J1 &amp;205) - Dashboard!K1/24,"TBC")</f>
        <v>46029.833333333336</v>
      </c>
      <c r="B278" s="66" t="s">
        <v>5</v>
      </c>
      <c r="C278" s="6"/>
      <c r="D278" s="66" t="str">
        <f>IF(ISBLANK(fixtures!$K205),"",fixtures!$K205)</f>
        <v/>
      </c>
      <c r="E278" s="67" t="str">
        <f>IF(ISBLANK(fixtures!$L205),"",":")</f>
        <v/>
      </c>
      <c r="F278" s="68" t="str">
        <f>IF(ISBLANK(fixtures!$L205),"",fixtures!$L205)</f>
        <v/>
      </c>
      <c r="G278" s="6"/>
      <c r="H278" s="68" t="s">
        <v>11</v>
      </c>
      <c r="I278" s="68" t="s">
        <v>451</v>
      </c>
      <c r="J278" s="6"/>
      <c r="K278" s="6"/>
      <c r="L278" s="6"/>
      <c r="M278" s="6"/>
      <c r="N278" s="319"/>
      <c r="O278" s="319"/>
      <c r="P278" s="319"/>
      <c r="Q278" s="319"/>
      <c r="R278" s="319"/>
      <c r="S278" s="319"/>
      <c r="T278" s="319"/>
      <c r="U278" s="319"/>
    </row>
    <row r="279" spans="1:21">
      <c r="A279" s="136">
        <f ca="1">IFERROR(INDIRECT("fixtures!" &amp; Dashboard!J1 &amp;206) - Dashboard!K1/24,"TBC")</f>
        <v>46029.833333333336</v>
      </c>
      <c r="B279" s="66" t="s">
        <v>7</v>
      </c>
      <c r="C279" s="6"/>
      <c r="D279" s="66" t="str">
        <f>IF(ISBLANK(fixtures!$K206),"",fixtures!$K206)</f>
        <v/>
      </c>
      <c r="E279" s="67" t="str">
        <f>IF(ISBLANK(fixtures!$L206),"",":")</f>
        <v/>
      </c>
      <c r="F279" s="68" t="str">
        <f>IF(ISBLANK(fixtures!$L206),"",fixtures!$L206)</f>
        <v/>
      </c>
      <c r="G279" s="6"/>
      <c r="H279" s="68" t="s">
        <v>2</v>
      </c>
      <c r="I279" s="68" t="s">
        <v>44</v>
      </c>
      <c r="J279" s="6"/>
      <c r="K279" s="6"/>
      <c r="L279" s="6"/>
      <c r="M279" s="6"/>
    </row>
    <row r="280" spans="1:21">
      <c r="A280" s="136">
        <f ca="1">IFERROR(INDIRECT("fixtures!" &amp; Dashboard!J1 &amp;207) - Dashboard!K1/24,"TBC")</f>
        <v>46029.833333333336</v>
      </c>
      <c r="B280" s="66" t="s">
        <v>8</v>
      </c>
      <c r="C280" s="6"/>
      <c r="D280" s="66" t="str">
        <f>IF(ISBLANK(fixtures!$K207),"",fixtures!$K207)</f>
        <v/>
      </c>
      <c r="E280" s="67" t="str">
        <f>IF(ISBLANK(fixtures!$L207),"",":")</f>
        <v/>
      </c>
      <c r="F280" s="68" t="str">
        <f>IF(ISBLANK(fixtures!$L207),"",fixtures!$L207)</f>
        <v/>
      </c>
      <c r="G280" s="6"/>
      <c r="H280" s="68" t="s">
        <v>15</v>
      </c>
      <c r="I280" s="68" t="s">
        <v>452</v>
      </c>
      <c r="J280" s="6"/>
      <c r="K280" s="6"/>
      <c r="L280" s="6"/>
      <c r="M280" s="6"/>
    </row>
    <row r="281" spans="1:21">
      <c r="A281" s="136">
        <f ca="1">IFERROR(INDIRECT("fixtures!" &amp; Dashboard!J1 &amp;208) - Dashboard!K1/24,"TBC")</f>
        <v>46029.833333333336</v>
      </c>
      <c r="B281" s="66" t="s">
        <v>108</v>
      </c>
      <c r="C281" s="6"/>
      <c r="D281" s="66" t="str">
        <f>IF(ISBLANK(fixtures!$K208),"",fixtures!$K208)</f>
        <v/>
      </c>
      <c r="E281" s="67" t="str">
        <f>IF(ISBLANK(fixtures!$L208),"",":")</f>
        <v/>
      </c>
      <c r="F281" s="68" t="str">
        <f>IF(ISBLANK(fixtures!$L208),"",fixtures!$L208)</f>
        <v/>
      </c>
      <c r="G281" s="6"/>
      <c r="H281" s="68" t="s">
        <v>6</v>
      </c>
      <c r="I281" s="68" t="s">
        <v>157</v>
      </c>
      <c r="J281" s="6"/>
      <c r="K281" s="6"/>
      <c r="L281" s="6"/>
      <c r="M281" s="6"/>
    </row>
    <row r="282" spans="1:21">
      <c r="A282" s="136">
        <f ca="1">IFERROR(INDIRECT("fixtures!" &amp; Dashboard!J1 &amp;209) - Dashboard!K1/24,"TBC")</f>
        <v>46029.833333333336</v>
      </c>
      <c r="B282" s="66" t="s">
        <v>10</v>
      </c>
      <c r="C282" s="6"/>
      <c r="D282" s="66" t="str">
        <f>IF(ISBLANK(fixtures!$K209),"",fixtures!$K209)</f>
        <v/>
      </c>
      <c r="E282" s="67" t="str">
        <f>IF(ISBLANK(fixtures!$L209),"",":")</f>
        <v/>
      </c>
      <c r="F282" s="68" t="str">
        <f>IF(ISBLANK(fixtures!$L209),"",fixtures!$L209)</f>
        <v/>
      </c>
      <c r="G282" s="6"/>
      <c r="H282" s="68" t="s">
        <v>4</v>
      </c>
      <c r="I282" s="68" t="s">
        <v>50</v>
      </c>
      <c r="J282" s="6"/>
      <c r="K282" s="6"/>
      <c r="L282" s="6"/>
      <c r="M282" s="6"/>
      <c r="N282" s="319"/>
      <c r="O282" s="319"/>
      <c r="P282" s="319"/>
      <c r="Q282" s="319"/>
      <c r="R282" s="319"/>
      <c r="S282" s="319"/>
      <c r="T282" s="319"/>
      <c r="U282" s="319"/>
    </row>
    <row r="283" spans="1:21">
      <c r="A283" s="136">
        <f ca="1">IFERROR(INDIRECT("fixtures!" &amp; Dashboard!J1 &amp;210) - Dashboard!K1/24,"TBC")</f>
        <v>46029.833333333336</v>
      </c>
      <c r="B283" s="66" t="s">
        <v>12</v>
      </c>
      <c r="C283" s="6"/>
      <c r="D283" s="66" t="str">
        <f>IF(ISBLANK(fixtures!$K210),"",fixtures!$K210)</f>
        <v/>
      </c>
      <c r="E283" s="67" t="str">
        <f>IF(ISBLANK(fixtures!$L210),"",":")</f>
        <v/>
      </c>
      <c r="F283" s="68" t="str">
        <f>IF(ISBLANK(fixtures!$L210),"",fixtures!$L210)</f>
        <v/>
      </c>
      <c r="G283" s="6"/>
      <c r="H283" s="68" t="s">
        <v>444</v>
      </c>
      <c r="I283" s="68" t="s">
        <v>46</v>
      </c>
      <c r="J283" s="6"/>
      <c r="K283" s="6"/>
      <c r="L283" s="6"/>
      <c r="M283" s="6"/>
    </row>
    <row r="284" spans="1:21">
      <c r="A284" s="136">
        <f ca="1">IFERROR(INDIRECT("fixtures!" &amp; Dashboard!J1 &amp;211) - Dashboard!K1/24,"TBC")</f>
        <v>46029.833333333336</v>
      </c>
      <c r="B284" s="66" t="s">
        <v>14</v>
      </c>
      <c r="C284" s="6"/>
      <c r="D284" s="66" t="str">
        <f>IF(ISBLANK(fixtures!$K211),"",fixtures!$K211)</f>
        <v/>
      </c>
      <c r="E284" s="67" t="str">
        <f>IF(ISBLANK(fixtures!$L211),"",":")</f>
        <v/>
      </c>
      <c r="F284" s="68" t="str">
        <f>IF(ISBLANK(fixtures!$L211),"",fixtures!$L211)</f>
        <v/>
      </c>
      <c r="G284" s="6"/>
      <c r="H284" s="68" t="s">
        <v>188</v>
      </c>
      <c r="I284" s="68" t="s">
        <v>42</v>
      </c>
      <c r="J284" s="6"/>
      <c r="K284" s="6"/>
      <c r="L284" s="6"/>
      <c r="M284" s="6"/>
      <c r="N284" s="319"/>
      <c r="O284" s="319"/>
      <c r="P284" s="319"/>
      <c r="Q284" s="319"/>
      <c r="R284" s="319"/>
      <c r="S284" s="319"/>
      <c r="T284" s="319"/>
      <c r="U284" s="319"/>
    </row>
    <row r="285" spans="1:21">
      <c r="A285" s="69" t="str">
        <f>Dashboard!D1 &amp; " Time"</f>
        <v>London Time</v>
      </c>
      <c r="B285" s="6"/>
      <c r="C285" s="6"/>
      <c r="D285" s="6"/>
      <c r="E285" s="6"/>
      <c r="F285" s="6"/>
      <c r="G285" s="6"/>
      <c r="H285" s="6"/>
      <c r="I285" s="292" t="s">
        <v>442</v>
      </c>
      <c r="J285" s="6"/>
      <c r="K285" s="6"/>
      <c r="L285" s="6"/>
      <c r="M285" s="6"/>
    </row>
    <row r="286" spans="1:21" ht="31.5">
      <c r="A286" s="8"/>
      <c r="B286" s="8"/>
      <c r="C286" s="8"/>
      <c r="D286" s="8"/>
      <c r="E286" s="8"/>
      <c r="F286" s="8"/>
      <c r="G286" s="8"/>
      <c r="H286" s="70" t="s">
        <v>73</v>
      </c>
      <c r="I286" s="8"/>
      <c r="J286" s="8"/>
      <c r="K286" s="8"/>
      <c r="L286" s="8"/>
      <c r="M286" s="8"/>
    </row>
    <row r="287" spans="1:21">
      <c r="A287" s="154" t="s">
        <v>583</v>
      </c>
      <c r="B287" s="155"/>
      <c r="C287" s="155"/>
      <c r="D287" s="155"/>
      <c r="E287" s="155"/>
      <c r="F287" s="155"/>
      <c r="G287" s="155"/>
      <c r="H287" s="155"/>
      <c r="I287" s="155"/>
      <c r="J287" s="155"/>
      <c r="K287" s="155"/>
      <c r="L287" s="155"/>
      <c r="M287" s="155"/>
    </row>
    <row r="288" spans="1:21">
      <c r="A288" s="137">
        <f ca="1">IFERROR(INDIRECT("fixtures!" &amp; Dashboard!J1 &amp;212) - Dashboard!K1/24,"TBC")</f>
        <v>46039.625</v>
      </c>
      <c r="B288" s="71" t="s">
        <v>2</v>
      </c>
      <c r="C288" s="9"/>
      <c r="D288" s="71" t="str">
        <f>IF(ISBLANK(fixtures!$K212),"",fixtures!$K212)</f>
        <v/>
      </c>
      <c r="E288" s="72" t="str">
        <f>IF(ISBLANK(fixtures!$L212),"",":")</f>
        <v/>
      </c>
      <c r="F288" s="73" t="str">
        <f>IF(ISBLANK(fixtures!$L212),"",fixtures!$L212)</f>
        <v/>
      </c>
      <c r="G288" s="9"/>
      <c r="H288" s="73" t="s">
        <v>8</v>
      </c>
      <c r="I288" s="73" t="s">
        <v>49</v>
      </c>
      <c r="J288" s="9"/>
      <c r="K288" s="9"/>
      <c r="L288" s="9"/>
      <c r="M288" s="9"/>
    </row>
    <row r="289" spans="1:21">
      <c r="A289" s="137">
        <f ca="1">IFERROR(INDIRECT("fixtures!" &amp; Dashboard!J1 &amp;213) - Dashboard!K1/24,"TBC")</f>
        <v>46039.625</v>
      </c>
      <c r="B289" s="71" t="s">
        <v>4</v>
      </c>
      <c r="C289" s="9"/>
      <c r="D289" s="71" t="str">
        <f>IF(ISBLANK(fixtures!$K213),"",fixtures!$K213)</f>
        <v/>
      </c>
      <c r="E289" s="72" t="str">
        <f>IF(ISBLANK(fixtures!$L213),"",":")</f>
        <v/>
      </c>
      <c r="F289" s="73" t="str">
        <f>IF(ISBLANK(fixtures!$L213),"",fixtures!$L213)</f>
        <v/>
      </c>
      <c r="G289" s="9"/>
      <c r="H289" s="73" t="s">
        <v>3</v>
      </c>
      <c r="I289" s="73" t="s">
        <v>217</v>
      </c>
      <c r="J289" s="9"/>
      <c r="K289" s="9"/>
      <c r="L289" s="9"/>
      <c r="M289" s="9"/>
    </row>
    <row r="290" spans="1:21">
      <c r="A290" s="137">
        <f ca="1">IFERROR(INDIRECT("fixtures!" &amp; Dashboard!J1 &amp;214) - Dashboard!K1/24,"TBC")</f>
        <v>46039.625</v>
      </c>
      <c r="B290" s="71" t="s">
        <v>6</v>
      </c>
      <c r="C290" s="9"/>
      <c r="D290" s="71" t="str">
        <f>IF(ISBLANK(fixtures!$K214),"",fixtures!$K214)</f>
        <v/>
      </c>
      <c r="E290" s="72" t="str">
        <f>IF(ISBLANK(fixtures!$L214),"",":")</f>
        <v/>
      </c>
      <c r="F290" s="73" t="str">
        <f>IF(ISBLANK(fixtures!$L214),"",fixtures!$L214)</f>
        <v/>
      </c>
      <c r="G290" s="9"/>
      <c r="H290" s="73" t="s">
        <v>107</v>
      </c>
      <c r="I290" s="73" t="s">
        <v>51</v>
      </c>
      <c r="J290" s="9"/>
      <c r="K290" s="9"/>
      <c r="L290" s="9"/>
      <c r="M290" s="9"/>
    </row>
    <row r="291" spans="1:21">
      <c r="A291" s="137">
        <f ca="1">IFERROR(INDIRECT("fixtures!" &amp; Dashboard!J1 &amp;215) - Dashboard!K1/24,"TBC")</f>
        <v>46039.625</v>
      </c>
      <c r="B291" s="71" t="s">
        <v>444</v>
      </c>
      <c r="C291" s="9"/>
      <c r="D291" s="71" t="str">
        <f>IF(ISBLANK(fixtures!$K215),"",fixtures!$K215)</f>
        <v/>
      </c>
      <c r="E291" s="72" t="str">
        <f>IF(ISBLANK(fixtures!$L215),"",":")</f>
        <v/>
      </c>
      <c r="F291" s="73" t="str">
        <f>IF(ISBLANK(fixtures!$L215),"",fixtures!$L215)</f>
        <v/>
      </c>
      <c r="G291" s="9"/>
      <c r="H291" s="73" t="s">
        <v>108</v>
      </c>
      <c r="I291" s="73" t="s">
        <v>449</v>
      </c>
      <c r="J291" s="9"/>
      <c r="K291" s="9"/>
      <c r="L291" s="9"/>
      <c r="M291" s="9"/>
      <c r="N291" s="319"/>
      <c r="O291" s="319"/>
      <c r="P291" s="319"/>
      <c r="Q291" s="319"/>
      <c r="R291" s="319"/>
      <c r="S291" s="319"/>
      <c r="T291" s="319"/>
      <c r="U291" s="319"/>
    </row>
    <row r="292" spans="1:21">
      <c r="A292" s="137">
        <f ca="1">IFERROR(INDIRECT("fixtures!" &amp; Dashboard!J1 &amp;216) - Dashboard!K1/24,"TBC")</f>
        <v>46039.625</v>
      </c>
      <c r="B292" s="71" t="s">
        <v>9</v>
      </c>
      <c r="C292" s="9"/>
      <c r="D292" s="71" t="str">
        <f>IF(ISBLANK(fixtures!$K216),"",fixtures!$K216)</f>
        <v/>
      </c>
      <c r="E292" s="72" t="str">
        <f>IF(ISBLANK(fixtures!$L216),"",":")</f>
        <v/>
      </c>
      <c r="F292" s="73" t="str">
        <f>IF(ISBLANK(fixtures!$L216),"",fixtures!$L216)</f>
        <v/>
      </c>
      <c r="G292" s="9"/>
      <c r="H292" s="73" t="s">
        <v>5</v>
      </c>
      <c r="I292" s="73" t="s">
        <v>40</v>
      </c>
      <c r="J292" s="9"/>
      <c r="K292" s="9"/>
      <c r="L292" s="9"/>
      <c r="M292" s="9"/>
    </row>
    <row r="293" spans="1:21">
      <c r="A293" s="137">
        <f ca="1">IFERROR(INDIRECT("fixtures!" &amp; Dashboard!J1 &amp;217) - Dashboard!K1/24,"TBC")</f>
        <v>46039.625</v>
      </c>
      <c r="B293" s="71" t="s">
        <v>11</v>
      </c>
      <c r="C293" s="9"/>
      <c r="D293" s="71" t="str">
        <f>IF(ISBLANK(fixtures!$K217),"",fixtures!$K217)</f>
        <v/>
      </c>
      <c r="E293" s="72" t="str">
        <f>IF(ISBLANK(fixtures!$L217),"",":")</f>
        <v/>
      </c>
      <c r="F293" s="73" t="str">
        <f>IF(ISBLANK(fixtures!$L217),"",fixtures!$L217)</f>
        <v/>
      </c>
      <c r="G293" s="9"/>
      <c r="H293" s="73" t="s">
        <v>10</v>
      </c>
      <c r="I293" s="73" t="s">
        <v>47</v>
      </c>
      <c r="J293" s="9"/>
      <c r="K293" s="9"/>
      <c r="L293" s="9"/>
      <c r="M293" s="9"/>
    </row>
    <row r="294" spans="1:21">
      <c r="A294" s="137">
        <f ca="1">IFERROR(INDIRECT("fixtures!" &amp; Dashboard!J1 &amp;218) - Dashboard!K1/24,"TBC")</f>
        <v>46039.625</v>
      </c>
      <c r="B294" s="71" t="s">
        <v>188</v>
      </c>
      <c r="C294" s="9"/>
      <c r="D294" s="71" t="str">
        <f>IF(ISBLANK(fixtures!$K218),"",fixtures!$K218)</f>
        <v/>
      </c>
      <c r="E294" s="72" t="str">
        <f>IF(ISBLANK(fixtures!$L218),"",":")</f>
        <v/>
      </c>
      <c r="F294" s="73" t="str">
        <f>IF(ISBLANK(fixtures!$L218),"",fixtures!$L218)</f>
        <v/>
      </c>
      <c r="G294" s="9"/>
      <c r="H294" s="73" t="s">
        <v>1</v>
      </c>
      <c r="I294" s="73" t="s">
        <v>158</v>
      </c>
      <c r="J294" s="9"/>
      <c r="K294" s="9"/>
      <c r="L294" s="9"/>
      <c r="M294" s="9"/>
    </row>
    <row r="295" spans="1:21">
      <c r="A295" s="137">
        <f ca="1">IFERROR(INDIRECT("fixtures!" &amp; Dashboard!J1 &amp;219) - Dashboard!K1/24,"TBC")</f>
        <v>46039.625</v>
      </c>
      <c r="B295" s="71" t="s">
        <v>13</v>
      </c>
      <c r="C295" s="9"/>
      <c r="D295" s="71" t="str">
        <f>IF(ISBLANK(fixtures!$K219),"",fixtures!$K219)</f>
        <v/>
      </c>
      <c r="E295" s="72" t="str">
        <f>IF(ISBLANK(fixtures!$L219),"",":")</f>
        <v/>
      </c>
      <c r="F295" s="73" t="str">
        <f>IF(ISBLANK(fixtures!$L219),"",fixtures!$L219)</f>
        <v/>
      </c>
      <c r="G295" s="9"/>
      <c r="H295" s="73" t="s">
        <v>14</v>
      </c>
      <c r="I295" s="73" t="s">
        <v>45</v>
      </c>
      <c r="J295" s="9"/>
      <c r="K295" s="9"/>
      <c r="L295" s="9"/>
      <c r="M295" s="9"/>
    </row>
    <row r="296" spans="1:21">
      <c r="A296" s="137">
        <f ca="1">IFERROR(INDIRECT("fixtures!" &amp; Dashboard!J1 &amp;220) - Dashboard!K1/24,"TBC")</f>
        <v>46039.625</v>
      </c>
      <c r="B296" s="71" t="s">
        <v>443</v>
      </c>
      <c r="C296" s="9"/>
      <c r="D296" s="71" t="str">
        <f>IF(ISBLANK(fixtures!$K220),"",fixtures!$K220)</f>
        <v/>
      </c>
      <c r="E296" s="72" t="str">
        <f>IF(ISBLANK(fixtures!$L220),"",":")</f>
        <v/>
      </c>
      <c r="F296" s="73" t="str">
        <f>IF(ISBLANK(fixtures!$L220),"",fixtures!$L220)</f>
        <v/>
      </c>
      <c r="G296" s="9"/>
      <c r="H296" s="73" t="s">
        <v>7</v>
      </c>
      <c r="I296" s="73" t="s">
        <v>448</v>
      </c>
      <c r="J296" s="9"/>
      <c r="K296" s="9"/>
      <c r="L296" s="9"/>
      <c r="M296" s="9"/>
    </row>
    <row r="297" spans="1:21">
      <c r="A297" s="137">
        <f ca="1">IFERROR(INDIRECT("fixtures!" &amp; Dashboard!J1 &amp;221) - Dashboard!K1/24,"TBC")</f>
        <v>46039.625</v>
      </c>
      <c r="B297" s="71" t="s">
        <v>15</v>
      </c>
      <c r="C297" s="9"/>
      <c r="D297" s="71" t="str">
        <f>IF(ISBLANK(fixtures!$K221),"",fixtures!$K221)</f>
        <v/>
      </c>
      <c r="E297" s="72" t="str">
        <f>IF(ISBLANK(fixtures!$L221),"",":")</f>
        <v/>
      </c>
      <c r="F297" s="73" t="str">
        <f>IF(ISBLANK(fixtures!$L221),"",fixtures!$L221)</f>
        <v/>
      </c>
      <c r="G297" s="9"/>
      <c r="H297" s="73" t="s">
        <v>12</v>
      </c>
      <c r="I297" s="73" t="s">
        <v>52</v>
      </c>
      <c r="J297" s="9"/>
      <c r="K297" s="9"/>
      <c r="L297" s="9"/>
      <c r="M297" s="9"/>
      <c r="N297" s="319"/>
      <c r="O297" s="319"/>
      <c r="P297" s="319"/>
      <c r="Q297" s="319"/>
      <c r="R297" s="319"/>
      <c r="S297" s="319"/>
      <c r="T297" s="319"/>
      <c r="U297" s="319"/>
    </row>
    <row r="298" spans="1:21">
      <c r="A298" s="74" t="str">
        <f>Dashboard!D1 &amp; " Time"</f>
        <v>London Time</v>
      </c>
      <c r="B298" s="9"/>
      <c r="C298" s="9"/>
      <c r="D298" s="9"/>
      <c r="E298" s="9"/>
      <c r="F298" s="9"/>
      <c r="G298" s="9"/>
      <c r="H298" s="9"/>
      <c r="I298" s="293" t="s">
        <v>442</v>
      </c>
      <c r="J298" s="9"/>
      <c r="K298" s="9"/>
      <c r="L298" s="9"/>
      <c r="M298" s="9"/>
    </row>
    <row r="299" spans="1:21" ht="31.5">
      <c r="A299" s="10"/>
      <c r="B299" s="10"/>
      <c r="C299" s="10"/>
      <c r="D299" s="10"/>
      <c r="E299" s="10"/>
      <c r="F299" s="10"/>
      <c r="G299" s="10"/>
      <c r="H299" s="75" t="s">
        <v>74</v>
      </c>
      <c r="I299" s="10"/>
      <c r="J299" s="10"/>
      <c r="K299" s="10"/>
      <c r="L299" s="10"/>
      <c r="M299" s="10"/>
    </row>
    <row r="300" spans="1:21">
      <c r="A300" s="156" t="s">
        <v>584</v>
      </c>
      <c r="B300" s="157"/>
      <c r="C300" s="157"/>
      <c r="D300" s="157"/>
      <c r="E300" s="157"/>
      <c r="F300" s="157"/>
      <c r="G300" s="157"/>
      <c r="H300" s="157"/>
      <c r="I300" s="157"/>
      <c r="J300" s="157"/>
      <c r="K300" s="157"/>
      <c r="L300" s="157"/>
      <c r="M300" s="157"/>
    </row>
    <row r="301" spans="1:21">
      <c r="A301" s="138">
        <f ca="1">IFERROR(INDIRECT("fixtures!" &amp; Dashboard!J1 &amp;222) - Dashboard!K1/24,"TBC")</f>
        <v>46046.625</v>
      </c>
      <c r="B301" s="76" t="s">
        <v>1</v>
      </c>
      <c r="C301" s="11"/>
      <c r="D301" s="76" t="str">
        <f>IF(ISBLANK(fixtures!$K222),"",fixtures!$K222)</f>
        <v/>
      </c>
      <c r="E301" s="77" t="str">
        <f>IF(ISBLANK(fixtures!$L222),"",":")</f>
        <v/>
      </c>
      <c r="F301" s="78" t="str">
        <f>IF(ISBLANK(fixtures!$L222),"",fixtures!$L222)</f>
        <v/>
      </c>
      <c r="G301" s="11"/>
      <c r="H301" s="78" t="s">
        <v>11</v>
      </c>
      <c r="I301" s="78" t="s">
        <v>48</v>
      </c>
      <c r="J301" s="11"/>
      <c r="K301" s="11"/>
      <c r="L301" s="11"/>
      <c r="M301" s="11"/>
      <c r="N301" s="319"/>
      <c r="O301" s="319"/>
      <c r="P301" s="319"/>
      <c r="Q301" s="319"/>
      <c r="R301" s="319"/>
      <c r="S301" s="319"/>
      <c r="T301" s="319"/>
      <c r="U301" s="319"/>
    </row>
    <row r="302" spans="1:21">
      <c r="A302" s="138">
        <f ca="1">IFERROR(INDIRECT("fixtures!" &amp; Dashboard!J1 &amp;223) - Dashboard!K1/24,"TBC")</f>
        <v>46046.625</v>
      </c>
      <c r="B302" s="76" t="s">
        <v>3</v>
      </c>
      <c r="C302" s="11"/>
      <c r="D302" s="76" t="str">
        <f>IF(ISBLANK(fixtures!$K223),"",fixtures!$K223)</f>
        <v/>
      </c>
      <c r="E302" s="77" t="str">
        <f>IF(ISBLANK(fixtures!$L223),"",":")</f>
        <v/>
      </c>
      <c r="F302" s="78" t="str">
        <f>IF(ISBLANK(fixtures!$L223),"",fixtures!$L223)</f>
        <v/>
      </c>
      <c r="G302" s="11"/>
      <c r="H302" s="78" t="s">
        <v>9</v>
      </c>
      <c r="I302" s="78" t="s">
        <v>43</v>
      </c>
      <c r="J302" s="11"/>
      <c r="K302" s="11"/>
      <c r="L302" s="11"/>
      <c r="M302" s="11"/>
    </row>
    <row r="303" spans="1:21">
      <c r="A303" s="138">
        <f ca="1">IFERROR(INDIRECT("fixtures!" &amp; Dashboard!J1 &amp;224) - Dashboard!K1/24,"TBC")</f>
        <v>46046.625</v>
      </c>
      <c r="B303" s="76" t="s">
        <v>107</v>
      </c>
      <c r="C303" s="11"/>
      <c r="D303" s="76" t="str">
        <f>IF(ISBLANK(fixtures!$K224),"",fixtures!$K224)</f>
        <v/>
      </c>
      <c r="E303" s="77" t="str">
        <f>IF(ISBLANK(fixtures!$L224),"",":")</f>
        <v/>
      </c>
      <c r="F303" s="78" t="str">
        <f>IF(ISBLANK(fixtures!$L224),"",fixtures!$L224)</f>
        <v/>
      </c>
      <c r="G303" s="11"/>
      <c r="H303" s="78" t="s">
        <v>188</v>
      </c>
      <c r="I303" s="78" t="s">
        <v>172</v>
      </c>
      <c r="J303" s="11"/>
      <c r="K303" s="11"/>
      <c r="L303" s="11"/>
      <c r="M303" s="11"/>
    </row>
    <row r="304" spans="1:21">
      <c r="A304" s="138">
        <f ca="1">IFERROR(INDIRECT("fixtures!" &amp; Dashboard!J1 &amp;225) - Dashboard!K1/24,"TBC")</f>
        <v>46046.625</v>
      </c>
      <c r="B304" s="76" t="s">
        <v>5</v>
      </c>
      <c r="C304" s="11"/>
      <c r="D304" s="76" t="str">
        <f>IF(ISBLANK(fixtures!$K225),"",fixtures!$K225)</f>
        <v/>
      </c>
      <c r="E304" s="77" t="str">
        <f>IF(ISBLANK(fixtures!$L225),"",":")</f>
        <v/>
      </c>
      <c r="F304" s="78" t="str">
        <f>IF(ISBLANK(fixtures!$L225),"",fixtures!$L225)</f>
        <v/>
      </c>
      <c r="G304" s="11"/>
      <c r="H304" s="78" t="s">
        <v>13</v>
      </c>
      <c r="I304" s="78" t="s">
        <v>451</v>
      </c>
      <c r="J304" s="11"/>
      <c r="K304" s="11"/>
      <c r="L304" s="11"/>
      <c r="M304" s="11"/>
    </row>
    <row r="305" spans="1:21">
      <c r="A305" s="138">
        <f ca="1">IFERROR(INDIRECT("fixtures!" &amp; Dashboard!J1 &amp;226) - Dashboard!K1/24,"TBC")</f>
        <v>46046.625</v>
      </c>
      <c r="B305" s="76" t="s">
        <v>7</v>
      </c>
      <c r="C305" s="11"/>
      <c r="D305" s="76" t="str">
        <f>IF(ISBLANK(fixtures!$K226),"",fixtures!$K226)</f>
        <v/>
      </c>
      <c r="E305" s="77" t="str">
        <f>IF(ISBLANK(fixtures!$L226),"",":")</f>
        <v/>
      </c>
      <c r="F305" s="78" t="str">
        <f>IF(ISBLANK(fixtures!$L226),"",fixtures!$L226)</f>
        <v/>
      </c>
      <c r="G305" s="11"/>
      <c r="H305" s="78" t="s">
        <v>6</v>
      </c>
      <c r="I305" s="78" t="s">
        <v>44</v>
      </c>
      <c r="J305" s="11"/>
      <c r="K305" s="11"/>
      <c r="L305" s="11"/>
      <c r="M305" s="11"/>
    </row>
    <row r="306" spans="1:21">
      <c r="A306" s="138">
        <f ca="1">IFERROR(INDIRECT("fixtures!" &amp; Dashboard!J1 &amp;227) - Dashboard!K1/24,"TBC")</f>
        <v>46046.625</v>
      </c>
      <c r="B306" s="76" t="s">
        <v>8</v>
      </c>
      <c r="C306" s="11"/>
      <c r="D306" s="76" t="str">
        <f>IF(ISBLANK(fixtures!$K227),"",fixtures!$K227)</f>
        <v/>
      </c>
      <c r="E306" s="77" t="str">
        <f>IF(ISBLANK(fixtures!$L227),"",":")</f>
        <v/>
      </c>
      <c r="F306" s="78" t="str">
        <f>IF(ISBLANK(fixtures!$L227),"",fixtures!$L227)</f>
        <v/>
      </c>
      <c r="G306" s="11"/>
      <c r="H306" s="78" t="s">
        <v>444</v>
      </c>
      <c r="I306" s="78" t="s">
        <v>452</v>
      </c>
      <c r="J306" s="11"/>
      <c r="K306" s="11"/>
      <c r="L306" s="11"/>
      <c r="M306" s="11"/>
    </row>
    <row r="307" spans="1:21">
      <c r="A307" s="138">
        <f ca="1">IFERROR(INDIRECT("fixtures!" &amp; Dashboard!J1 &amp;228) - Dashboard!K1/24,"TBC")</f>
        <v>46046.625</v>
      </c>
      <c r="B307" s="76" t="s">
        <v>108</v>
      </c>
      <c r="C307" s="11"/>
      <c r="D307" s="76" t="str">
        <f>IF(ISBLANK(fixtures!$K228),"",fixtures!$K228)</f>
        <v/>
      </c>
      <c r="E307" s="77" t="str">
        <f>IF(ISBLANK(fixtures!$L228),"",":")</f>
        <v/>
      </c>
      <c r="F307" s="78" t="str">
        <f>IF(ISBLANK(fixtures!$L228),"",fixtures!$L228)</f>
        <v/>
      </c>
      <c r="G307" s="11"/>
      <c r="H307" s="78" t="s">
        <v>4</v>
      </c>
      <c r="I307" s="78" t="s">
        <v>157</v>
      </c>
      <c r="J307" s="11"/>
      <c r="K307" s="11"/>
      <c r="L307" s="11"/>
      <c r="M307" s="11"/>
    </row>
    <row r="308" spans="1:21">
      <c r="A308" s="138">
        <f ca="1">IFERROR(INDIRECT("fixtures!" &amp; Dashboard!J1 &amp;229) - Dashboard!K1/24,"TBC")</f>
        <v>46046.625</v>
      </c>
      <c r="B308" s="76" t="s">
        <v>10</v>
      </c>
      <c r="C308" s="11"/>
      <c r="D308" s="76" t="str">
        <f>IF(ISBLANK(fixtures!$K229),"",fixtures!$K229)</f>
        <v/>
      </c>
      <c r="E308" s="77" t="str">
        <f>IF(ISBLANK(fixtures!$L229),"",":")</f>
        <v/>
      </c>
      <c r="F308" s="78" t="str">
        <f>IF(ISBLANK(fixtures!$L229),"",fixtures!$L229)</f>
        <v/>
      </c>
      <c r="G308" s="11"/>
      <c r="H308" s="78" t="s">
        <v>15</v>
      </c>
      <c r="I308" s="78" t="s">
        <v>50</v>
      </c>
      <c r="J308" s="11"/>
      <c r="K308" s="11"/>
      <c r="L308" s="11"/>
      <c r="M308" s="11"/>
      <c r="N308" s="319"/>
      <c r="O308" s="319"/>
      <c r="P308" s="319"/>
      <c r="Q308" s="319"/>
      <c r="R308" s="319"/>
      <c r="S308" s="319"/>
      <c r="T308" s="319"/>
      <c r="U308" s="319"/>
    </row>
    <row r="309" spans="1:21">
      <c r="A309" s="138">
        <f ca="1">IFERROR(INDIRECT("fixtures!" &amp; Dashboard!J1 &amp;230) - Dashboard!K1/24,"TBC")</f>
        <v>46046.625</v>
      </c>
      <c r="B309" s="76" t="s">
        <v>12</v>
      </c>
      <c r="C309" s="11"/>
      <c r="D309" s="76" t="str">
        <f>IF(ISBLANK(fixtures!$K230),"",fixtures!$K230)</f>
        <v/>
      </c>
      <c r="E309" s="77" t="str">
        <f>IF(ISBLANK(fixtures!$L230),"",":")</f>
        <v/>
      </c>
      <c r="F309" s="78" t="str">
        <f>IF(ISBLANK(fixtures!$L230),"",fixtures!$L230)</f>
        <v/>
      </c>
      <c r="G309" s="11"/>
      <c r="H309" s="78" t="s">
        <v>2</v>
      </c>
      <c r="I309" s="78" t="s">
        <v>46</v>
      </c>
      <c r="J309" s="11"/>
      <c r="K309" s="11"/>
      <c r="L309" s="11"/>
      <c r="M309" s="11"/>
    </row>
    <row r="310" spans="1:21">
      <c r="A310" s="138">
        <f ca="1">IFERROR(INDIRECT("fixtures!" &amp; Dashboard!J1 &amp;231) - Dashboard!K1/24,"TBC")</f>
        <v>46046.625</v>
      </c>
      <c r="B310" s="76" t="s">
        <v>14</v>
      </c>
      <c r="C310" s="11"/>
      <c r="D310" s="76" t="str">
        <f>IF(ISBLANK(fixtures!$K231),"",fixtures!$K231)</f>
        <v/>
      </c>
      <c r="E310" s="77" t="str">
        <f>IF(ISBLANK(fixtures!$L231),"",":")</f>
        <v/>
      </c>
      <c r="F310" s="78" t="str">
        <f>IF(ISBLANK(fixtures!$L231),"",fixtures!$L231)</f>
        <v/>
      </c>
      <c r="G310" s="11"/>
      <c r="H310" s="78" t="s">
        <v>443</v>
      </c>
      <c r="I310" s="78" t="s">
        <v>42</v>
      </c>
      <c r="J310" s="11"/>
      <c r="K310" s="11"/>
      <c r="L310" s="11"/>
      <c r="M310" s="11"/>
    </row>
    <row r="311" spans="1:21">
      <c r="A311" s="79" t="str">
        <f>Dashboard!D1 &amp; " Time"</f>
        <v>London Time</v>
      </c>
      <c r="B311" s="11"/>
      <c r="C311" s="11"/>
      <c r="D311" s="11"/>
      <c r="E311" s="11"/>
      <c r="F311" s="11"/>
      <c r="G311" s="11"/>
      <c r="H311" s="11"/>
      <c r="I311" s="294" t="s">
        <v>442</v>
      </c>
      <c r="J311" s="11"/>
      <c r="K311" s="11"/>
      <c r="L311" s="11"/>
      <c r="M311" s="11"/>
    </row>
    <row r="312" spans="1:21" ht="31.5">
      <c r="A312" s="26"/>
      <c r="B312" s="26"/>
      <c r="C312" s="26"/>
      <c r="D312" s="26"/>
      <c r="E312" s="26"/>
      <c r="F312" s="26"/>
      <c r="G312" s="26"/>
      <c r="H312" s="357" t="s">
        <v>75</v>
      </c>
      <c r="I312" s="26"/>
      <c r="J312" s="26"/>
      <c r="K312" s="26"/>
      <c r="L312" s="26"/>
      <c r="M312" s="26"/>
      <c r="N312" s="319"/>
      <c r="O312" s="319"/>
      <c r="P312" s="319"/>
      <c r="Q312" s="319"/>
      <c r="R312" s="319"/>
      <c r="S312" s="319"/>
      <c r="T312" s="319"/>
      <c r="U312" s="319"/>
    </row>
    <row r="313" spans="1:21">
      <c r="A313" s="358" t="s">
        <v>585</v>
      </c>
      <c r="B313" s="359"/>
      <c r="C313" s="359"/>
      <c r="D313" s="359"/>
      <c r="E313" s="359"/>
      <c r="F313" s="359"/>
      <c r="G313" s="359"/>
      <c r="H313" s="359"/>
      <c r="I313" s="359"/>
      <c r="J313" s="359"/>
      <c r="K313" s="359"/>
      <c r="L313" s="359"/>
      <c r="M313" s="359"/>
    </row>
    <row r="314" spans="1:21">
      <c r="A314" s="360">
        <f ca="1">IFERROR(INDIRECT("fixtures!" &amp; Dashboard!J1 &amp;232) - Dashboard!K1/24,"TBC")</f>
        <v>46053.625</v>
      </c>
      <c r="B314" s="89" t="s">
        <v>2</v>
      </c>
      <c r="C314" s="27"/>
      <c r="D314" s="89" t="str">
        <f>IF(ISBLANK(fixtures!$K232),"",fixtures!$K232)</f>
        <v/>
      </c>
      <c r="E314" s="361" t="str">
        <f>IF(ISBLANK(fixtures!$L232),"",":")</f>
        <v/>
      </c>
      <c r="F314" s="90" t="str">
        <f>IF(ISBLANK(fixtures!$L232),"",fixtures!$L232)</f>
        <v/>
      </c>
      <c r="G314" s="27"/>
      <c r="H314" s="90" t="s">
        <v>107</v>
      </c>
      <c r="I314" s="90" t="s">
        <v>49</v>
      </c>
      <c r="J314" s="27"/>
      <c r="K314" s="27"/>
      <c r="L314" s="27"/>
      <c r="M314" s="27"/>
    </row>
    <row r="315" spans="1:21">
      <c r="A315" s="360">
        <f ca="1">IFERROR(INDIRECT("fixtures!" &amp; Dashboard!J1 &amp;233) - Dashboard!K1/24,"TBC")</f>
        <v>46053.625</v>
      </c>
      <c r="B315" s="89" t="s">
        <v>4</v>
      </c>
      <c r="C315" s="27"/>
      <c r="D315" s="89" t="str">
        <f>IF(ISBLANK(fixtures!$K233),"",fixtures!$K233)</f>
        <v/>
      </c>
      <c r="E315" s="361" t="str">
        <f>IF(ISBLANK(fixtures!$L233),"",":")</f>
        <v/>
      </c>
      <c r="F315" s="90" t="str">
        <f>IF(ISBLANK(fixtures!$L233),"",fixtures!$L233)</f>
        <v/>
      </c>
      <c r="G315" s="27"/>
      <c r="H315" s="90" t="s">
        <v>8</v>
      </c>
      <c r="I315" s="90" t="s">
        <v>217</v>
      </c>
      <c r="J315" s="27"/>
      <c r="K315" s="27"/>
      <c r="L315" s="27"/>
      <c r="M315" s="27"/>
    </row>
    <row r="316" spans="1:21">
      <c r="A316" s="360">
        <f ca="1">IFERROR(INDIRECT("fixtures!" &amp; Dashboard!J1 &amp;234) - Dashboard!K1/24,"TBC")</f>
        <v>46053.625</v>
      </c>
      <c r="B316" s="89" t="s">
        <v>6</v>
      </c>
      <c r="C316" s="27"/>
      <c r="D316" s="89" t="str">
        <f>IF(ISBLANK(fixtures!$K234),"",fixtures!$K234)</f>
        <v/>
      </c>
      <c r="E316" s="361" t="str">
        <f>IF(ISBLANK(fixtures!$L234),"",":")</f>
        <v/>
      </c>
      <c r="F316" s="90" t="str">
        <f>IF(ISBLANK(fixtures!$L234),"",fixtures!$L234)</f>
        <v/>
      </c>
      <c r="G316" s="27"/>
      <c r="H316" s="90" t="s">
        <v>14</v>
      </c>
      <c r="I316" s="90" t="s">
        <v>51</v>
      </c>
      <c r="J316" s="27"/>
      <c r="K316" s="27"/>
      <c r="L316" s="27"/>
      <c r="M316" s="27"/>
      <c r="N316" s="319"/>
      <c r="O316" s="319"/>
      <c r="P316" s="319"/>
      <c r="Q316" s="319"/>
      <c r="R316" s="319"/>
      <c r="S316" s="319"/>
      <c r="T316" s="319"/>
      <c r="U316" s="319"/>
    </row>
    <row r="317" spans="1:21">
      <c r="A317" s="360">
        <f ca="1">IFERROR(INDIRECT("fixtures!" &amp; Dashboard!J1 &amp;235) - Dashboard!K1/24,"TBC")</f>
        <v>46053.625</v>
      </c>
      <c r="B317" s="89" t="s">
        <v>444</v>
      </c>
      <c r="C317" s="27"/>
      <c r="D317" s="89" t="str">
        <f>IF(ISBLANK(fixtures!$K235),"",fixtures!$K235)</f>
        <v/>
      </c>
      <c r="E317" s="361" t="str">
        <f>IF(ISBLANK(fixtures!$L235),"",":")</f>
        <v/>
      </c>
      <c r="F317" s="90" t="str">
        <f>IF(ISBLANK(fixtures!$L235),"",fixtures!$L235)</f>
        <v/>
      </c>
      <c r="G317" s="27"/>
      <c r="H317" s="90" t="s">
        <v>1</v>
      </c>
      <c r="I317" s="90" t="s">
        <v>449</v>
      </c>
      <c r="J317" s="27"/>
      <c r="K317" s="27"/>
      <c r="L317" s="27"/>
      <c r="M317" s="27"/>
    </row>
    <row r="318" spans="1:21">
      <c r="A318" s="360">
        <f ca="1">IFERROR(INDIRECT("fixtures!" &amp; Dashboard!J1 &amp;236) - Dashboard!K1/24,"TBC")</f>
        <v>46053.625</v>
      </c>
      <c r="B318" s="89" t="s">
        <v>9</v>
      </c>
      <c r="C318" s="27"/>
      <c r="D318" s="89" t="str">
        <f>IF(ISBLANK(fixtures!$K236),"",fixtures!$K236)</f>
        <v/>
      </c>
      <c r="E318" s="361" t="str">
        <f>IF(ISBLANK(fixtures!$L236),"",":")</f>
        <v/>
      </c>
      <c r="F318" s="90" t="str">
        <f>IF(ISBLANK(fixtures!$L236),"",fixtures!$L236)</f>
        <v/>
      </c>
      <c r="G318" s="27"/>
      <c r="H318" s="90" t="s">
        <v>12</v>
      </c>
      <c r="I318" s="90" t="s">
        <v>40</v>
      </c>
      <c r="J318" s="27"/>
      <c r="K318" s="27"/>
      <c r="L318" s="27"/>
      <c r="M318" s="27"/>
      <c r="N318" s="319"/>
      <c r="O318" s="319"/>
      <c r="P318" s="319"/>
      <c r="Q318" s="319"/>
      <c r="R318" s="319"/>
      <c r="S318" s="319"/>
      <c r="T318" s="319"/>
      <c r="U318" s="319"/>
    </row>
    <row r="319" spans="1:21">
      <c r="A319" s="360">
        <f ca="1">IFERROR(INDIRECT("fixtures!" &amp; Dashboard!J1 &amp;237) - Dashboard!K1/24,"TBC")</f>
        <v>46053.625</v>
      </c>
      <c r="B319" s="89" t="s">
        <v>11</v>
      </c>
      <c r="C319" s="27"/>
      <c r="D319" s="89" t="str">
        <f>IF(ISBLANK(fixtures!$K237),"",fixtures!$K237)</f>
        <v/>
      </c>
      <c r="E319" s="361" t="str">
        <f>IF(ISBLANK(fixtures!$L237),"",":")</f>
        <v/>
      </c>
      <c r="F319" s="90" t="str">
        <f>IF(ISBLANK(fixtures!$L237),"",fixtures!$L237)</f>
        <v/>
      </c>
      <c r="G319" s="27"/>
      <c r="H319" s="90" t="s">
        <v>108</v>
      </c>
      <c r="I319" s="90" t="s">
        <v>47</v>
      </c>
      <c r="J319" s="27"/>
      <c r="K319" s="27"/>
      <c r="L319" s="27"/>
      <c r="M319" s="27"/>
    </row>
    <row r="320" spans="1:21">
      <c r="A320" s="360">
        <f ca="1">IFERROR(INDIRECT("fixtures!" &amp; Dashboard!J1 &amp;238) - Dashboard!K1/24,"TBC")</f>
        <v>46053.625</v>
      </c>
      <c r="B320" s="89" t="s">
        <v>188</v>
      </c>
      <c r="C320" s="27"/>
      <c r="D320" s="89" t="str">
        <f>IF(ISBLANK(fixtures!$K238),"",fixtures!$K238)</f>
        <v/>
      </c>
      <c r="E320" s="361" t="str">
        <f>IF(ISBLANK(fixtures!$L238),"",":")</f>
        <v/>
      </c>
      <c r="F320" s="90" t="str">
        <f>IF(ISBLANK(fixtures!$L238),"",fixtures!$L238)</f>
        <v/>
      </c>
      <c r="G320" s="27"/>
      <c r="H320" s="90" t="s">
        <v>7</v>
      </c>
      <c r="I320" s="90" t="s">
        <v>158</v>
      </c>
      <c r="J320" s="27"/>
      <c r="K320" s="27"/>
      <c r="L320" s="27"/>
      <c r="M320" s="27"/>
    </row>
    <row r="321" spans="1:21">
      <c r="A321" s="360">
        <f ca="1">IFERROR(INDIRECT("fixtures!" &amp; Dashboard!J1 &amp;239) - Dashboard!K1/24,"TBC")</f>
        <v>46053.625</v>
      </c>
      <c r="B321" s="89" t="s">
        <v>13</v>
      </c>
      <c r="C321" s="27"/>
      <c r="D321" s="89" t="str">
        <f>IF(ISBLANK(fixtures!$K239),"",fixtures!$K239)</f>
        <v/>
      </c>
      <c r="E321" s="361" t="str">
        <f>IF(ISBLANK(fixtures!$L239),"",":")</f>
        <v/>
      </c>
      <c r="F321" s="90" t="str">
        <f>IF(ISBLANK(fixtures!$L239),"",fixtures!$L239)</f>
        <v/>
      </c>
      <c r="G321" s="27"/>
      <c r="H321" s="90" t="s">
        <v>10</v>
      </c>
      <c r="I321" s="90" t="s">
        <v>45</v>
      </c>
      <c r="J321" s="27"/>
      <c r="K321" s="27"/>
      <c r="L321" s="27"/>
      <c r="M321" s="27"/>
    </row>
    <row r="322" spans="1:21">
      <c r="A322" s="360">
        <f ca="1">IFERROR(INDIRECT("fixtures!" &amp; Dashboard!J1 &amp;240) - Dashboard!K1/24,"TBC")</f>
        <v>46053.625</v>
      </c>
      <c r="B322" s="89" t="s">
        <v>443</v>
      </c>
      <c r="C322" s="27"/>
      <c r="D322" s="89" t="str">
        <f>IF(ISBLANK(fixtures!$K240),"",fixtures!$K240)</f>
        <v/>
      </c>
      <c r="E322" s="361" t="str">
        <f>IF(ISBLANK(fixtures!$L240),"",":")</f>
        <v/>
      </c>
      <c r="F322" s="90" t="str">
        <f>IF(ISBLANK(fixtures!$L240),"",fixtures!$L240)</f>
        <v/>
      </c>
      <c r="G322" s="27"/>
      <c r="H322" s="90" t="s">
        <v>5</v>
      </c>
      <c r="I322" s="90" t="s">
        <v>448</v>
      </c>
      <c r="J322" s="27"/>
      <c r="K322" s="27"/>
      <c r="L322" s="27"/>
      <c r="M322" s="27"/>
    </row>
    <row r="323" spans="1:21">
      <c r="A323" s="360">
        <f ca="1">IFERROR(INDIRECT("fixtures!" &amp; Dashboard!J1 &amp;241) - Dashboard!K1/24,"TBC")</f>
        <v>46053.625</v>
      </c>
      <c r="B323" s="89" t="s">
        <v>15</v>
      </c>
      <c r="C323" s="27"/>
      <c r="D323" s="89" t="str">
        <f>IF(ISBLANK(fixtures!$K241),"",fixtures!$K241)</f>
        <v/>
      </c>
      <c r="E323" s="361" t="str">
        <f>IF(ISBLANK(fixtures!$L241),"",":")</f>
        <v/>
      </c>
      <c r="F323" s="90" t="str">
        <f>IF(ISBLANK(fixtures!$L241),"",fixtures!$L241)</f>
        <v/>
      </c>
      <c r="G323" s="27"/>
      <c r="H323" s="90" t="s">
        <v>3</v>
      </c>
      <c r="I323" s="90" t="s">
        <v>52</v>
      </c>
      <c r="J323" s="27"/>
      <c r="K323" s="27"/>
      <c r="L323" s="27"/>
      <c r="M323" s="27"/>
    </row>
    <row r="324" spans="1:21">
      <c r="A324" s="362" t="str">
        <f>Dashboard!D1 &amp; " Time"</f>
        <v>London Time</v>
      </c>
      <c r="B324" s="27"/>
      <c r="C324" s="27"/>
      <c r="D324" s="27"/>
      <c r="E324" s="27"/>
      <c r="F324" s="27"/>
      <c r="G324" s="27"/>
      <c r="H324" s="27"/>
      <c r="I324" s="363" t="s">
        <v>442</v>
      </c>
      <c r="J324" s="27"/>
      <c r="K324" s="27"/>
      <c r="L324" s="27"/>
      <c r="M324" s="27"/>
    </row>
    <row r="325" spans="1:21" ht="31.5">
      <c r="A325" s="168"/>
      <c r="B325" s="168"/>
      <c r="C325" s="168"/>
      <c r="D325" s="168"/>
      <c r="E325" s="168"/>
      <c r="F325" s="168"/>
      <c r="G325" s="168"/>
      <c r="H325" s="203" t="s">
        <v>76</v>
      </c>
      <c r="I325" s="168"/>
      <c r="J325" s="168"/>
      <c r="K325" s="168"/>
      <c r="L325" s="168"/>
      <c r="M325" s="168"/>
    </row>
    <row r="326" spans="1:21">
      <c r="A326" s="204" t="s">
        <v>586</v>
      </c>
      <c r="B326" s="205"/>
      <c r="C326" s="205"/>
      <c r="D326" s="205"/>
      <c r="E326" s="205"/>
      <c r="F326" s="205"/>
      <c r="G326" s="205"/>
      <c r="H326" s="205"/>
      <c r="I326" s="205"/>
      <c r="J326" s="205"/>
      <c r="K326" s="205"/>
      <c r="L326" s="205"/>
      <c r="M326" s="205"/>
      <c r="N326" s="319"/>
      <c r="O326" s="319"/>
      <c r="P326" s="319"/>
      <c r="Q326" s="319"/>
      <c r="R326" s="319"/>
      <c r="S326" s="319"/>
      <c r="T326" s="319"/>
      <c r="U326" s="319"/>
    </row>
    <row r="327" spans="1:21">
      <c r="A327" s="206">
        <f ca="1">IFERROR(INDIRECT("fixtures!" &amp; Dashboard!J1 &amp;242) - Dashboard!K1/24,"TBC")</f>
        <v>46060.625</v>
      </c>
      <c r="B327" s="207" t="s">
        <v>1</v>
      </c>
      <c r="C327" s="19"/>
      <c r="D327" s="207" t="str">
        <f>IF(ISBLANK(fixtures!$K242),"",fixtures!$K242)</f>
        <v/>
      </c>
      <c r="E327" s="208" t="str">
        <f>IF(ISBLANK(fixtures!$L242),"",":")</f>
        <v/>
      </c>
      <c r="F327" s="209" t="str">
        <f>IF(ISBLANK(fixtures!$L242),"",fixtures!$L242)</f>
        <v/>
      </c>
      <c r="G327" s="19"/>
      <c r="H327" s="209" t="s">
        <v>443</v>
      </c>
      <c r="I327" s="209" t="s">
        <v>48</v>
      </c>
      <c r="J327" s="19"/>
      <c r="K327" s="19"/>
      <c r="L327" s="19"/>
      <c r="M327" s="19"/>
    </row>
    <row r="328" spans="1:21">
      <c r="A328" s="206">
        <f ca="1">IFERROR(INDIRECT("fixtures!" &amp; Dashboard!J1 &amp;243) - Dashboard!K1/24,"TBC")</f>
        <v>46060.625</v>
      </c>
      <c r="B328" s="207" t="s">
        <v>3</v>
      </c>
      <c r="C328" s="19"/>
      <c r="D328" s="207" t="str">
        <f>IF(ISBLANK(fixtures!$K243),"",fixtures!$K243)</f>
        <v/>
      </c>
      <c r="E328" s="208" t="str">
        <f>IF(ISBLANK(fixtures!$L243),"",":")</f>
        <v/>
      </c>
      <c r="F328" s="209" t="str">
        <f>IF(ISBLANK(fixtures!$L243),"",fixtures!$L243)</f>
        <v/>
      </c>
      <c r="G328" s="19"/>
      <c r="H328" s="209" t="s">
        <v>2</v>
      </c>
      <c r="I328" s="209" t="s">
        <v>43</v>
      </c>
      <c r="J328" s="19"/>
      <c r="K328" s="19"/>
      <c r="L328" s="19"/>
      <c r="M328" s="19"/>
    </row>
    <row r="329" spans="1:21">
      <c r="A329" s="206">
        <f ca="1">IFERROR(INDIRECT("fixtures!" &amp; Dashboard!J1 &amp;244) - Dashboard!K1/24,"TBC")</f>
        <v>46060.625</v>
      </c>
      <c r="B329" s="207" t="s">
        <v>4</v>
      </c>
      <c r="C329" s="19"/>
      <c r="D329" s="207" t="str">
        <f>IF(ISBLANK(fixtures!$K244),"",fixtures!$K244)</f>
        <v/>
      </c>
      <c r="E329" s="208" t="str">
        <f>IF(ISBLANK(fixtures!$L244),"",":")</f>
        <v/>
      </c>
      <c r="F329" s="209" t="str">
        <f>IF(ISBLANK(fixtures!$L244),"",fixtures!$L244)</f>
        <v/>
      </c>
      <c r="G329" s="19"/>
      <c r="H329" s="209" t="s">
        <v>7</v>
      </c>
      <c r="I329" s="209" t="s">
        <v>217</v>
      </c>
      <c r="J329" s="19"/>
      <c r="K329" s="19"/>
      <c r="L329" s="19"/>
      <c r="M329" s="19"/>
    </row>
    <row r="330" spans="1:21">
      <c r="A330" s="206">
        <f ca="1">IFERROR(INDIRECT("fixtures!" &amp; Dashboard!J1 &amp;245) - Dashboard!K1/24,"TBC")</f>
        <v>46060.625</v>
      </c>
      <c r="B330" s="207" t="s">
        <v>5</v>
      </c>
      <c r="C330" s="19"/>
      <c r="D330" s="207" t="str">
        <f>IF(ISBLANK(fixtures!$K245),"",fixtures!$K245)</f>
        <v/>
      </c>
      <c r="E330" s="208" t="str">
        <f>IF(ISBLANK(fixtures!$L245),"",":")</f>
        <v/>
      </c>
      <c r="F330" s="209" t="str">
        <f>IF(ISBLANK(fixtures!$L245),"",fixtures!$L245)</f>
        <v/>
      </c>
      <c r="G330" s="19"/>
      <c r="H330" s="209" t="s">
        <v>14</v>
      </c>
      <c r="I330" s="209" t="s">
        <v>451</v>
      </c>
      <c r="J330" s="19"/>
      <c r="K330" s="19"/>
      <c r="L330" s="19"/>
      <c r="M330" s="19"/>
    </row>
    <row r="331" spans="1:21">
      <c r="A331" s="206">
        <f ca="1">IFERROR(INDIRECT("fixtures!" &amp; Dashboard!J1 &amp;246) - Dashboard!K1/24,"TBC")</f>
        <v>46060.625</v>
      </c>
      <c r="B331" s="207" t="s">
        <v>108</v>
      </c>
      <c r="C331" s="19"/>
      <c r="D331" s="207" t="str">
        <f>IF(ISBLANK(fixtures!$K246),"",fixtures!$K246)</f>
        <v/>
      </c>
      <c r="E331" s="208" t="str">
        <f>IF(ISBLANK(fixtures!$L246),"",":")</f>
        <v/>
      </c>
      <c r="F331" s="209" t="str">
        <f>IF(ISBLANK(fixtures!$L246),"",fixtures!$L246)</f>
        <v/>
      </c>
      <c r="G331" s="19"/>
      <c r="H331" s="209" t="s">
        <v>8</v>
      </c>
      <c r="I331" s="209" t="s">
        <v>157</v>
      </c>
      <c r="J331" s="19"/>
      <c r="K331" s="19"/>
      <c r="L331" s="19"/>
      <c r="M331" s="19"/>
      <c r="N331" s="319"/>
      <c r="O331" s="319"/>
      <c r="P331" s="319"/>
      <c r="Q331" s="319"/>
      <c r="R331" s="319"/>
      <c r="S331" s="319"/>
      <c r="T331" s="319"/>
      <c r="U331" s="319"/>
    </row>
    <row r="332" spans="1:21">
      <c r="A332" s="206">
        <f ca="1">IFERROR(INDIRECT("fixtures!" &amp; Dashboard!J1 &amp;247) - Dashboard!K1/24,"TBC")</f>
        <v>46060.625</v>
      </c>
      <c r="B332" s="207" t="s">
        <v>444</v>
      </c>
      <c r="C332" s="19"/>
      <c r="D332" s="207" t="str">
        <f>IF(ISBLANK(fixtures!$K247),"",fixtures!$K247)</f>
        <v/>
      </c>
      <c r="E332" s="208" t="str">
        <f>IF(ISBLANK(fixtures!$L247),"",":")</f>
        <v/>
      </c>
      <c r="F332" s="209" t="str">
        <f>IF(ISBLANK(fixtures!$L247),"",fixtures!$L247)</f>
        <v/>
      </c>
      <c r="G332" s="19"/>
      <c r="H332" s="209" t="s">
        <v>188</v>
      </c>
      <c r="I332" s="209" t="s">
        <v>449</v>
      </c>
      <c r="J332" s="19"/>
      <c r="K332" s="19"/>
      <c r="L332" s="19"/>
      <c r="M332" s="19"/>
    </row>
    <row r="333" spans="1:21">
      <c r="A333" s="206">
        <f ca="1">IFERROR(INDIRECT("fixtures!" &amp; Dashboard!J1 &amp;248) - Dashboard!K1/24,"TBC")</f>
        <v>46060.625</v>
      </c>
      <c r="B333" s="207" t="s">
        <v>9</v>
      </c>
      <c r="C333" s="19"/>
      <c r="D333" s="207" t="str">
        <f>IF(ISBLANK(fixtures!$K248),"",fixtures!$K248)</f>
        <v/>
      </c>
      <c r="E333" s="208" t="str">
        <f>IF(ISBLANK(fixtures!$L248),"",":")</f>
        <v/>
      </c>
      <c r="F333" s="209" t="str">
        <f>IF(ISBLANK(fixtures!$L248),"",fixtures!$L248)</f>
        <v/>
      </c>
      <c r="G333" s="19"/>
      <c r="H333" s="209" t="s">
        <v>10</v>
      </c>
      <c r="I333" s="209" t="s">
        <v>40</v>
      </c>
      <c r="J333" s="19"/>
      <c r="K333" s="19"/>
      <c r="L333" s="19"/>
      <c r="M333" s="19"/>
    </row>
    <row r="334" spans="1:21">
      <c r="A334" s="206">
        <f ca="1">IFERROR(INDIRECT("fixtures!" &amp; Dashboard!J1 &amp;249) - Dashboard!K1/24,"TBC")</f>
        <v>46060.625</v>
      </c>
      <c r="B334" s="207" t="s">
        <v>11</v>
      </c>
      <c r="C334" s="19"/>
      <c r="D334" s="207" t="str">
        <f>IF(ISBLANK(fixtures!$K249),"",fixtures!$K249)</f>
        <v/>
      </c>
      <c r="E334" s="208" t="str">
        <f>IF(ISBLANK(fixtures!$L249),"",":")</f>
        <v/>
      </c>
      <c r="F334" s="209" t="str">
        <f>IF(ISBLANK(fixtures!$L249),"",fixtures!$L249)</f>
        <v/>
      </c>
      <c r="G334" s="19"/>
      <c r="H334" s="209" t="s">
        <v>13</v>
      </c>
      <c r="I334" s="209" t="s">
        <v>47</v>
      </c>
      <c r="J334" s="19"/>
      <c r="K334" s="19"/>
      <c r="L334" s="19"/>
      <c r="M334" s="19"/>
    </row>
    <row r="335" spans="1:21">
      <c r="A335" s="206">
        <f ca="1">IFERROR(INDIRECT("fixtures!" &amp; Dashboard!J1 &amp;250) - Dashboard!K1/24,"TBC")</f>
        <v>46060.625</v>
      </c>
      <c r="B335" s="207" t="s">
        <v>12</v>
      </c>
      <c r="C335" s="19"/>
      <c r="D335" s="207" t="str">
        <f>IF(ISBLANK(fixtures!$K250),"",fixtures!$K250)</f>
        <v/>
      </c>
      <c r="E335" s="208" t="str">
        <f>IF(ISBLANK(fixtures!$L250),"",":")</f>
        <v/>
      </c>
      <c r="F335" s="209" t="str">
        <f>IF(ISBLANK(fixtures!$L250),"",fixtures!$L250)</f>
        <v/>
      </c>
      <c r="G335" s="19"/>
      <c r="H335" s="209" t="s">
        <v>107</v>
      </c>
      <c r="I335" s="209" t="s">
        <v>46</v>
      </c>
      <c r="J335" s="19"/>
      <c r="K335" s="19"/>
      <c r="L335" s="19"/>
      <c r="M335" s="19"/>
    </row>
    <row r="336" spans="1:21">
      <c r="A336" s="206">
        <f ca="1">IFERROR(INDIRECT("fixtures!" &amp; Dashboard!J1 &amp;251) - Dashboard!K1/24,"TBC")</f>
        <v>46060.625</v>
      </c>
      <c r="B336" s="207" t="s">
        <v>15</v>
      </c>
      <c r="C336" s="19"/>
      <c r="D336" s="207" t="str">
        <f>IF(ISBLANK(fixtures!$K251),"",fixtures!$K251)</f>
        <v/>
      </c>
      <c r="E336" s="208" t="str">
        <f>IF(ISBLANK(fixtures!$L251),"",":")</f>
        <v/>
      </c>
      <c r="F336" s="209" t="str">
        <f>IF(ISBLANK(fixtures!$L251),"",fixtures!$L251)</f>
        <v/>
      </c>
      <c r="G336" s="19"/>
      <c r="H336" s="209" t="s">
        <v>6</v>
      </c>
      <c r="I336" s="209" t="s">
        <v>52</v>
      </c>
      <c r="J336" s="19"/>
      <c r="K336" s="19"/>
      <c r="L336" s="19"/>
      <c r="M336" s="19"/>
    </row>
    <row r="337" spans="1:21">
      <c r="A337" s="210" t="str">
        <f>Dashboard!D1 &amp; " Time"</f>
        <v>London Time</v>
      </c>
      <c r="B337" s="19"/>
      <c r="C337" s="19"/>
      <c r="D337" s="19"/>
      <c r="E337" s="19"/>
      <c r="F337" s="19"/>
      <c r="G337" s="19"/>
      <c r="H337" s="19"/>
      <c r="I337" s="296" t="s">
        <v>442</v>
      </c>
      <c r="J337" s="19"/>
      <c r="K337" s="19"/>
      <c r="L337" s="19"/>
      <c r="M337" s="19"/>
    </row>
    <row r="338" spans="1:21" ht="31.5">
      <c r="A338" s="24"/>
      <c r="B338" s="24"/>
      <c r="C338" s="24"/>
      <c r="D338" s="24"/>
      <c r="E338" s="24"/>
      <c r="F338" s="24"/>
      <c r="G338" s="24"/>
      <c r="H338" s="84" t="s">
        <v>77</v>
      </c>
      <c r="I338" s="24"/>
      <c r="J338" s="24"/>
      <c r="K338" s="24"/>
      <c r="L338" s="24"/>
      <c r="M338" s="24"/>
    </row>
    <row r="339" spans="1:21">
      <c r="A339" s="162" t="s">
        <v>587</v>
      </c>
      <c r="B339" s="163"/>
      <c r="C339" s="163"/>
      <c r="D339" s="163"/>
      <c r="E339" s="163"/>
      <c r="F339" s="163"/>
      <c r="G339" s="163"/>
      <c r="H339" s="163"/>
      <c r="I339" s="163"/>
      <c r="J339" s="163"/>
      <c r="K339" s="163"/>
      <c r="L339" s="163"/>
      <c r="M339" s="163"/>
      <c r="N339" s="319"/>
      <c r="O339" s="319"/>
      <c r="P339" s="319"/>
      <c r="Q339" s="319"/>
      <c r="R339" s="319"/>
      <c r="S339" s="319"/>
      <c r="T339" s="319"/>
      <c r="U339" s="319"/>
    </row>
    <row r="340" spans="1:21">
      <c r="A340" s="140">
        <f ca="1">IFERROR(INDIRECT("fixtures!" &amp; Dashboard!J1 &amp;252) - Dashboard!K1/24,"TBC")</f>
        <v>46064.833333333336</v>
      </c>
      <c r="B340" s="85" t="s">
        <v>2</v>
      </c>
      <c r="C340" s="25"/>
      <c r="D340" s="85" t="str">
        <f>IF(ISBLANK(fixtures!$K252),"",fixtures!$K252)</f>
        <v/>
      </c>
      <c r="E340" s="86" t="str">
        <f>IF(ISBLANK(fixtures!$L252),"",":")</f>
        <v/>
      </c>
      <c r="F340" s="87" t="str">
        <f>IF(ISBLANK(fixtures!$L252),"",fixtures!$L252)</f>
        <v/>
      </c>
      <c r="G340" s="25"/>
      <c r="H340" s="87" t="s">
        <v>4</v>
      </c>
      <c r="I340" s="87" t="s">
        <v>49</v>
      </c>
      <c r="J340" s="25"/>
      <c r="K340" s="25"/>
      <c r="L340" s="25"/>
      <c r="M340" s="25"/>
    </row>
    <row r="341" spans="1:21">
      <c r="A341" s="140">
        <f ca="1">IFERROR(INDIRECT("fixtures!" &amp; Dashboard!J1 &amp;253) - Dashboard!K1/24,"TBC")</f>
        <v>46064.833333333336</v>
      </c>
      <c r="B341" s="85" t="s">
        <v>107</v>
      </c>
      <c r="C341" s="25"/>
      <c r="D341" s="85" t="str">
        <f>IF(ISBLANK(fixtures!$K253),"",fixtures!$K253)</f>
        <v/>
      </c>
      <c r="E341" s="86" t="str">
        <f>IF(ISBLANK(fixtures!$L253),"",":")</f>
        <v/>
      </c>
      <c r="F341" s="87" t="str">
        <f>IF(ISBLANK(fixtures!$L253),"",fixtures!$L253)</f>
        <v/>
      </c>
      <c r="G341" s="25"/>
      <c r="H341" s="87" t="s">
        <v>1</v>
      </c>
      <c r="I341" s="87" t="s">
        <v>172</v>
      </c>
      <c r="J341" s="25"/>
      <c r="K341" s="25"/>
      <c r="L341" s="25"/>
      <c r="M341" s="25"/>
    </row>
    <row r="342" spans="1:21">
      <c r="A342" s="140">
        <f ca="1">IFERROR(INDIRECT("fixtures!" &amp; Dashboard!J1 &amp;254) - Dashboard!K1/24,"TBC")</f>
        <v>46064.833333333336</v>
      </c>
      <c r="B342" s="85" t="s">
        <v>6</v>
      </c>
      <c r="C342" s="25"/>
      <c r="D342" s="85" t="str">
        <f>IF(ISBLANK(fixtures!$K254),"",fixtures!$K254)</f>
        <v/>
      </c>
      <c r="E342" s="86" t="str">
        <f>IF(ISBLANK(fixtures!$L254),"",":")</f>
        <v/>
      </c>
      <c r="F342" s="87" t="str">
        <f>IF(ISBLANK(fixtures!$L254),"",fixtures!$L254)</f>
        <v/>
      </c>
      <c r="G342" s="25"/>
      <c r="H342" s="87" t="s">
        <v>444</v>
      </c>
      <c r="I342" s="87" t="s">
        <v>51</v>
      </c>
      <c r="J342" s="25"/>
      <c r="K342" s="25"/>
      <c r="L342" s="25"/>
      <c r="M342" s="25"/>
      <c r="N342" s="319"/>
      <c r="O342" s="319"/>
      <c r="P342" s="319"/>
      <c r="Q342" s="319"/>
      <c r="R342" s="319"/>
      <c r="S342" s="319"/>
      <c r="T342" s="319"/>
      <c r="U342" s="319"/>
    </row>
    <row r="343" spans="1:21">
      <c r="A343" s="140">
        <f ca="1">IFERROR(INDIRECT("fixtures!" &amp; Dashboard!J1 &amp;255) - Dashboard!K1/24,"TBC")</f>
        <v>46064.833333333336</v>
      </c>
      <c r="B343" s="85" t="s">
        <v>7</v>
      </c>
      <c r="C343" s="25"/>
      <c r="D343" s="85" t="str">
        <f>IF(ISBLANK(fixtures!$K255),"",fixtures!$K255)</f>
        <v/>
      </c>
      <c r="E343" s="86" t="str">
        <f>IF(ISBLANK(fixtures!$L255),"",":")</f>
        <v/>
      </c>
      <c r="F343" s="87" t="str">
        <f>IF(ISBLANK(fixtures!$L255),"",fixtures!$L255)</f>
        <v/>
      </c>
      <c r="G343" s="25"/>
      <c r="H343" s="87" t="s">
        <v>5</v>
      </c>
      <c r="I343" s="87" t="s">
        <v>44</v>
      </c>
      <c r="J343" s="25"/>
      <c r="K343" s="25"/>
      <c r="L343" s="25"/>
      <c r="M343" s="25"/>
    </row>
    <row r="344" spans="1:21">
      <c r="A344" s="140">
        <f ca="1">IFERROR(INDIRECT("fixtures!" &amp; Dashboard!J1 &amp;256) - Dashboard!K1/24,"TBC")</f>
        <v>46064.833333333336</v>
      </c>
      <c r="B344" s="85" t="s">
        <v>8</v>
      </c>
      <c r="C344" s="25"/>
      <c r="D344" s="85" t="str">
        <f>IF(ISBLANK(fixtures!$K256),"",fixtures!$K256)</f>
        <v/>
      </c>
      <c r="E344" s="86" t="str">
        <f>IF(ISBLANK(fixtures!$L256),"",":")</f>
        <v/>
      </c>
      <c r="F344" s="87" t="str">
        <f>IF(ISBLANK(fixtures!$L256),"",fixtures!$L256)</f>
        <v/>
      </c>
      <c r="G344" s="25"/>
      <c r="H344" s="87" t="s">
        <v>3</v>
      </c>
      <c r="I344" s="87" t="s">
        <v>452</v>
      </c>
      <c r="J344" s="25"/>
      <c r="K344" s="25"/>
      <c r="L344" s="25"/>
      <c r="M344" s="25"/>
    </row>
    <row r="345" spans="1:21">
      <c r="A345" s="140">
        <f ca="1">IFERROR(INDIRECT("fixtures!" &amp; Dashboard!J1 &amp;257) - Dashboard!K1/24,"TBC")</f>
        <v>46064.833333333336</v>
      </c>
      <c r="B345" s="85" t="s">
        <v>10</v>
      </c>
      <c r="C345" s="25"/>
      <c r="D345" s="85" t="str">
        <f>IF(ISBLANK(fixtures!$K257),"",fixtures!$K257)</f>
        <v/>
      </c>
      <c r="E345" s="86" t="str">
        <f>IF(ISBLANK(fixtures!$L257),"",":")</f>
        <v/>
      </c>
      <c r="F345" s="87" t="str">
        <f>IF(ISBLANK(fixtures!$L257),"",fixtures!$L257)</f>
        <v/>
      </c>
      <c r="G345" s="25"/>
      <c r="H345" s="87" t="s">
        <v>108</v>
      </c>
      <c r="I345" s="87" t="s">
        <v>50</v>
      </c>
      <c r="J345" s="25"/>
      <c r="K345" s="25"/>
      <c r="L345" s="25"/>
      <c r="M345" s="25"/>
    </row>
    <row r="346" spans="1:21">
      <c r="A346" s="140">
        <f ca="1">IFERROR(INDIRECT("fixtures!" &amp; Dashboard!J1 &amp;258) - Dashboard!K1/24,"TBC")</f>
        <v>46064.833333333336</v>
      </c>
      <c r="B346" s="85" t="s">
        <v>188</v>
      </c>
      <c r="C346" s="25"/>
      <c r="D346" s="85" t="str">
        <f>IF(ISBLANK(fixtures!$K258),"",fixtures!$K258)</f>
        <v/>
      </c>
      <c r="E346" s="86" t="str">
        <f>IF(ISBLANK(fixtures!$L258),"",":")</f>
        <v/>
      </c>
      <c r="F346" s="87" t="str">
        <f>IF(ISBLANK(fixtures!$L258),"",fixtures!$L258)</f>
        <v/>
      </c>
      <c r="G346" s="25"/>
      <c r="H346" s="87" t="s">
        <v>15</v>
      </c>
      <c r="I346" s="87" t="s">
        <v>158</v>
      </c>
      <c r="J346" s="25"/>
      <c r="K346" s="25"/>
      <c r="L346" s="25"/>
      <c r="M346" s="25"/>
      <c r="N346" s="319"/>
      <c r="O346" s="319"/>
      <c r="P346" s="319"/>
      <c r="Q346" s="319"/>
      <c r="R346" s="319"/>
      <c r="S346" s="319"/>
      <c r="T346" s="319"/>
      <c r="U346" s="319"/>
    </row>
    <row r="347" spans="1:21">
      <c r="A347" s="140">
        <f ca="1">IFERROR(INDIRECT("fixtures!" &amp; Dashboard!J1 &amp;259) - Dashboard!K1/24,"TBC")</f>
        <v>46064.833333333336</v>
      </c>
      <c r="B347" s="85" t="s">
        <v>13</v>
      </c>
      <c r="C347" s="25"/>
      <c r="D347" s="85" t="str">
        <f>IF(ISBLANK(fixtures!$K259),"",fixtures!$K259)</f>
        <v/>
      </c>
      <c r="E347" s="86" t="str">
        <f>IF(ISBLANK(fixtures!$L259),"",":")</f>
        <v/>
      </c>
      <c r="F347" s="87" t="str">
        <f>IF(ISBLANK(fixtures!$L259),"",fixtures!$L259)</f>
        <v/>
      </c>
      <c r="G347" s="25"/>
      <c r="H347" s="87" t="s">
        <v>12</v>
      </c>
      <c r="I347" s="87" t="s">
        <v>45</v>
      </c>
      <c r="J347" s="25"/>
      <c r="K347" s="25"/>
      <c r="L347" s="25"/>
      <c r="M347" s="25"/>
    </row>
    <row r="348" spans="1:21">
      <c r="A348" s="140">
        <f ca="1">IFERROR(INDIRECT("fixtures!" &amp; Dashboard!J1 &amp;260) - Dashboard!K1/24,"TBC")</f>
        <v>46064.833333333336</v>
      </c>
      <c r="B348" s="85" t="s">
        <v>443</v>
      </c>
      <c r="C348" s="25"/>
      <c r="D348" s="85" t="str">
        <f>IF(ISBLANK(fixtures!$K260),"",fixtures!$K260)</f>
        <v/>
      </c>
      <c r="E348" s="86" t="str">
        <f>IF(ISBLANK(fixtures!$L260),"",":")</f>
        <v/>
      </c>
      <c r="F348" s="87" t="str">
        <f>IF(ISBLANK(fixtures!$L260),"",fixtures!$L260)</f>
        <v/>
      </c>
      <c r="G348" s="25"/>
      <c r="H348" s="87" t="s">
        <v>9</v>
      </c>
      <c r="I348" s="87" t="s">
        <v>448</v>
      </c>
      <c r="J348" s="25"/>
      <c r="K348" s="25"/>
      <c r="L348" s="25"/>
      <c r="M348" s="25"/>
    </row>
    <row r="349" spans="1:21">
      <c r="A349" s="140">
        <f ca="1">IFERROR(INDIRECT("fixtures!" &amp; Dashboard!J1 &amp;261) - Dashboard!K1/24,"TBC")</f>
        <v>46064.833333333336</v>
      </c>
      <c r="B349" s="85" t="s">
        <v>14</v>
      </c>
      <c r="C349" s="25"/>
      <c r="D349" s="85" t="str">
        <f>IF(ISBLANK(fixtures!$K261),"",fixtures!$K261)</f>
        <v/>
      </c>
      <c r="E349" s="86" t="str">
        <f>IF(ISBLANK(fixtures!$L261),"",":")</f>
        <v/>
      </c>
      <c r="F349" s="87" t="str">
        <f>IF(ISBLANK(fixtures!$L261),"",fixtures!$L261)</f>
        <v/>
      </c>
      <c r="G349" s="25"/>
      <c r="H349" s="87" t="s">
        <v>11</v>
      </c>
      <c r="I349" s="87" t="s">
        <v>42</v>
      </c>
      <c r="J349" s="25"/>
      <c r="K349" s="25"/>
      <c r="L349" s="25"/>
      <c r="M349" s="25"/>
    </row>
    <row r="350" spans="1:21">
      <c r="A350" s="88" t="str">
        <f>Dashboard!D1 &amp; " Time"</f>
        <v>London Time</v>
      </c>
      <c r="B350" s="25"/>
      <c r="C350" s="25"/>
      <c r="D350" s="25"/>
      <c r="E350" s="25"/>
      <c r="F350" s="25"/>
      <c r="G350" s="25"/>
      <c r="H350" s="25"/>
      <c r="I350" s="297" t="s">
        <v>442</v>
      </c>
      <c r="J350" s="25"/>
      <c r="K350" s="25"/>
      <c r="L350" s="25"/>
      <c r="M350" s="25"/>
      <c r="N350" s="319"/>
      <c r="O350" s="319"/>
      <c r="P350" s="319"/>
      <c r="Q350" s="319"/>
      <c r="R350" s="319"/>
      <c r="S350" s="319"/>
      <c r="T350" s="319"/>
      <c r="U350" s="319"/>
    </row>
    <row r="351" spans="1:21" ht="31.5">
      <c r="A351" s="12"/>
      <c r="B351" s="12"/>
      <c r="C351" s="12"/>
      <c r="D351" s="12"/>
      <c r="E351" s="12"/>
      <c r="F351" s="12"/>
      <c r="G351" s="12"/>
      <c r="H351" s="144" t="s">
        <v>78</v>
      </c>
      <c r="I351" s="12"/>
      <c r="J351" s="12"/>
      <c r="K351" s="12"/>
      <c r="L351" s="12"/>
      <c r="M351" s="12"/>
    </row>
    <row r="352" spans="1:21">
      <c r="A352" s="158" t="s">
        <v>588</v>
      </c>
      <c r="B352" s="159"/>
      <c r="C352" s="159"/>
      <c r="D352" s="159"/>
      <c r="E352" s="159"/>
      <c r="F352" s="159"/>
      <c r="G352" s="159"/>
      <c r="H352" s="159"/>
      <c r="I352" s="159"/>
      <c r="J352" s="159"/>
      <c r="K352" s="159"/>
      <c r="L352" s="159"/>
      <c r="M352" s="159"/>
    </row>
    <row r="353" spans="1:21">
      <c r="A353" s="145">
        <f ca="1">IFERROR(INDIRECT("fixtures!" &amp; Dashboard!J1 &amp;262) - Dashboard!K1/24,"TBC")</f>
        <v>46074.625</v>
      </c>
      <c r="B353" s="146" t="s">
        <v>2</v>
      </c>
      <c r="C353" s="13"/>
      <c r="D353" s="146" t="str">
        <f>IF(ISBLANK(fixtures!$K262),"",fixtures!$K262)</f>
        <v/>
      </c>
      <c r="E353" s="147" t="str">
        <f>IF(ISBLANK(fixtures!$L262),"",":")</f>
        <v/>
      </c>
      <c r="F353" s="148" t="str">
        <f>IF(ISBLANK(fixtures!$L262),"",fixtures!$L262)</f>
        <v/>
      </c>
      <c r="G353" s="13"/>
      <c r="H353" s="148" t="s">
        <v>444</v>
      </c>
      <c r="I353" s="148" t="s">
        <v>49</v>
      </c>
      <c r="J353" s="13"/>
      <c r="K353" s="13"/>
      <c r="L353" s="13"/>
      <c r="M353" s="13"/>
    </row>
    <row r="354" spans="1:21">
      <c r="A354" s="145">
        <f ca="1">IFERROR(INDIRECT("fixtures!" &amp; Dashboard!J1 &amp;263) - Dashboard!K1/24,"TBC")</f>
        <v>46074.625</v>
      </c>
      <c r="B354" s="146" t="s">
        <v>107</v>
      </c>
      <c r="C354" s="13"/>
      <c r="D354" s="146" t="str">
        <f>IF(ISBLANK(fixtures!$K263),"",fixtures!$K263)</f>
        <v/>
      </c>
      <c r="E354" s="147" t="str">
        <f>IF(ISBLANK(fixtures!$L263),"",":")</f>
        <v/>
      </c>
      <c r="F354" s="148" t="str">
        <f>IF(ISBLANK(fixtures!$L263),"",fixtures!$L263)</f>
        <v/>
      </c>
      <c r="G354" s="13"/>
      <c r="H354" s="148" t="s">
        <v>4</v>
      </c>
      <c r="I354" s="148" t="s">
        <v>172</v>
      </c>
      <c r="J354" s="13"/>
      <c r="K354" s="13"/>
      <c r="L354" s="13"/>
      <c r="M354" s="13"/>
    </row>
    <row r="355" spans="1:21">
      <c r="A355" s="145">
        <f ca="1">IFERROR(INDIRECT("fixtures!" &amp; Dashboard!J1 &amp;264) - Dashboard!K1/24,"TBC")</f>
        <v>46074.625</v>
      </c>
      <c r="B355" s="146" t="s">
        <v>6</v>
      </c>
      <c r="C355" s="13"/>
      <c r="D355" s="146" t="str">
        <f>IF(ISBLANK(fixtures!$K264),"",fixtures!$K264)</f>
        <v/>
      </c>
      <c r="E355" s="147" t="str">
        <f>IF(ISBLANK(fixtures!$L264),"",":")</f>
        <v/>
      </c>
      <c r="F355" s="148" t="str">
        <f>IF(ISBLANK(fixtures!$L264),"",fixtures!$L264)</f>
        <v/>
      </c>
      <c r="G355" s="13"/>
      <c r="H355" s="148" t="s">
        <v>5</v>
      </c>
      <c r="I355" s="148" t="s">
        <v>51</v>
      </c>
      <c r="J355" s="13"/>
      <c r="K355" s="13"/>
      <c r="L355" s="13"/>
      <c r="M355" s="13"/>
    </row>
    <row r="356" spans="1:21">
      <c r="A356" s="145">
        <f ca="1">IFERROR(INDIRECT("fixtures!" &amp; Dashboard!J1 &amp;265) - Dashboard!K1/24,"TBC")</f>
        <v>46074.625</v>
      </c>
      <c r="B356" s="146" t="s">
        <v>7</v>
      </c>
      <c r="C356" s="13"/>
      <c r="D356" s="146" t="str">
        <f>IF(ISBLANK(fixtures!$K265),"",fixtures!$K265)</f>
        <v/>
      </c>
      <c r="E356" s="147" t="str">
        <f>IF(ISBLANK(fixtures!$L265),"",":")</f>
        <v/>
      </c>
      <c r="F356" s="148" t="str">
        <f>IF(ISBLANK(fixtures!$L265),"",fixtures!$L265)</f>
        <v/>
      </c>
      <c r="G356" s="13"/>
      <c r="H356" s="148" t="s">
        <v>15</v>
      </c>
      <c r="I356" s="148" t="s">
        <v>44</v>
      </c>
      <c r="J356" s="13"/>
      <c r="K356" s="13"/>
      <c r="L356" s="13"/>
      <c r="M356" s="13"/>
    </row>
    <row r="357" spans="1:21">
      <c r="A357" s="145">
        <f ca="1">IFERROR(INDIRECT("fixtures!" &amp; Dashboard!J1 &amp;266) - Dashboard!K1/24,"TBC")</f>
        <v>46074.625</v>
      </c>
      <c r="B357" s="146" t="s">
        <v>8</v>
      </c>
      <c r="C357" s="13"/>
      <c r="D357" s="146" t="str">
        <f>IF(ISBLANK(fixtures!$K266),"",fixtures!$K266)</f>
        <v/>
      </c>
      <c r="E357" s="147" t="str">
        <f>IF(ISBLANK(fixtures!$L266),"",":")</f>
        <v/>
      </c>
      <c r="F357" s="148" t="str">
        <f>IF(ISBLANK(fixtures!$L266),"",fixtures!$L266)</f>
        <v/>
      </c>
      <c r="G357" s="13"/>
      <c r="H357" s="148" t="s">
        <v>11</v>
      </c>
      <c r="I357" s="148" t="s">
        <v>452</v>
      </c>
      <c r="J357" s="13"/>
      <c r="K357" s="13"/>
      <c r="L357" s="13"/>
      <c r="M357" s="13"/>
    </row>
    <row r="358" spans="1:21">
      <c r="A358" s="145">
        <f ca="1">IFERROR(INDIRECT("fixtures!" &amp; Dashboard!J1 &amp;267) - Dashboard!K1/24,"TBC")</f>
        <v>46074.625</v>
      </c>
      <c r="B358" s="146" t="s">
        <v>10</v>
      </c>
      <c r="C358" s="13"/>
      <c r="D358" s="146" t="str">
        <f>IF(ISBLANK(fixtures!$K267),"",fixtures!$K267)</f>
        <v/>
      </c>
      <c r="E358" s="147" t="str">
        <f>IF(ISBLANK(fixtures!$L267),"",":")</f>
        <v/>
      </c>
      <c r="F358" s="148" t="str">
        <f>IF(ISBLANK(fixtures!$L267),"",fixtures!$L267)</f>
        <v/>
      </c>
      <c r="G358" s="13"/>
      <c r="H358" s="148" t="s">
        <v>12</v>
      </c>
      <c r="I358" s="148" t="s">
        <v>50</v>
      </c>
      <c r="J358" s="13"/>
      <c r="K358" s="13"/>
      <c r="L358" s="13"/>
      <c r="M358" s="13"/>
    </row>
    <row r="359" spans="1:21">
      <c r="A359" s="145">
        <f ca="1">IFERROR(INDIRECT("fixtures!" &amp; Dashboard!J1 &amp;268) - Dashboard!K1/24,"TBC")</f>
        <v>46074.625</v>
      </c>
      <c r="B359" s="146" t="s">
        <v>188</v>
      </c>
      <c r="C359" s="13"/>
      <c r="D359" s="146" t="str">
        <f>IF(ISBLANK(fixtures!$K268),"",fixtures!$K268)</f>
        <v/>
      </c>
      <c r="E359" s="147" t="str">
        <f>IF(ISBLANK(fixtures!$L268),"",":")</f>
        <v/>
      </c>
      <c r="F359" s="148" t="str">
        <f>IF(ISBLANK(fixtures!$L268),"",fixtures!$L268)</f>
        <v/>
      </c>
      <c r="G359" s="13"/>
      <c r="H359" s="148" t="s">
        <v>9</v>
      </c>
      <c r="I359" s="148" t="s">
        <v>158</v>
      </c>
      <c r="J359" s="13"/>
      <c r="K359" s="13"/>
      <c r="L359" s="13"/>
      <c r="M359" s="13"/>
      <c r="N359" s="319"/>
      <c r="O359" s="319"/>
      <c r="P359" s="319"/>
      <c r="Q359" s="319"/>
      <c r="R359" s="319"/>
      <c r="S359" s="319"/>
      <c r="T359" s="319"/>
      <c r="U359" s="319"/>
    </row>
    <row r="360" spans="1:21">
      <c r="A360" s="145">
        <f ca="1">IFERROR(INDIRECT("fixtures!" &amp; Dashboard!J1 &amp;269) - Dashboard!K1/24,"TBC")</f>
        <v>46074.625</v>
      </c>
      <c r="B360" s="146" t="s">
        <v>13</v>
      </c>
      <c r="C360" s="13"/>
      <c r="D360" s="146" t="str">
        <f>IF(ISBLANK(fixtures!$K269),"",fixtures!$K269)</f>
        <v/>
      </c>
      <c r="E360" s="147" t="str">
        <f>IF(ISBLANK(fixtures!$L269),"",":")</f>
        <v/>
      </c>
      <c r="F360" s="148" t="str">
        <f>IF(ISBLANK(fixtures!$L269),"",fixtures!$L269)</f>
        <v/>
      </c>
      <c r="G360" s="13"/>
      <c r="H360" s="148" t="s">
        <v>1</v>
      </c>
      <c r="I360" s="148" t="s">
        <v>45</v>
      </c>
      <c r="J360" s="13"/>
      <c r="K360" s="13"/>
      <c r="L360" s="13"/>
      <c r="M360" s="13"/>
    </row>
    <row r="361" spans="1:21">
      <c r="A361" s="145">
        <f ca="1">IFERROR(INDIRECT("fixtures!" &amp; Dashboard!J1 &amp;270) - Dashboard!K1/24,"TBC")</f>
        <v>46074.625</v>
      </c>
      <c r="B361" s="146" t="s">
        <v>443</v>
      </c>
      <c r="C361" s="13"/>
      <c r="D361" s="146" t="str">
        <f>IF(ISBLANK(fixtures!$K270),"",fixtures!$K270)</f>
        <v/>
      </c>
      <c r="E361" s="147" t="str">
        <f>IF(ISBLANK(fixtures!$L270),"",":")</f>
        <v/>
      </c>
      <c r="F361" s="148" t="str">
        <f>IF(ISBLANK(fixtures!$L270),"",fixtures!$L270)</f>
        <v/>
      </c>
      <c r="G361" s="13"/>
      <c r="H361" s="148" t="s">
        <v>108</v>
      </c>
      <c r="I361" s="148" t="s">
        <v>448</v>
      </c>
      <c r="J361" s="13"/>
      <c r="K361" s="13"/>
      <c r="L361" s="13"/>
      <c r="M361" s="13"/>
    </row>
    <row r="362" spans="1:21">
      <c r="A362" s="145">
        <f ca="1">IFERROR(INDIRECT("fixtures!" &amp; Dashboard!J1 &amp;271) - Dashboard!K1/24,"TBC")</f>
        <v>46074.625</v>
      </c>
      <c r="B362" s="146" t="s">
        <v>14</v>
      </c>
      <c r="C362" s="13"/>
      <c r="D362" s="146" t="str">
        <f>IF(ISBLANK(fixtures!$K271),"",fixtures!$K271)</f>
        <v/>
      </c>
      <c r="E362" s="147" t="str">
        <f>IF(ISBLANK(fixtures!$L271),"",":")</f>
        <v/>
      </c>
      <c r="F362" s="148" t="str">
        <f>IF(ISBLANK(fixtures!$L271),"",fixtures!$L271)</f>
        <v/>
      </c>
      <c r="G362" s="13"/>
      <c r="H362" s="148" t="s">
        <v>3</v>
      </c>
      <c r="I362" s="148" t="s">
        <v>42</v>
      </c>
      <c r="J362" s="13"/>
      <c r="K362" s="13"/>
      <c r="L362" s="13"/>
      <c r="M362" s="13"/>
    </row>
    <row r="363" spans="1:21">
      <c r="A363" s="149" t="str">
        <f>Dashboard!D1 &amp; " Time"</f>
        <v>London Time</v>
      </c>
      <c r="B363" s="13"/>
      <c r="C363" s="13"/>
      <c r="D363" s="13"/>
      <c r="E363" s="13"/>
      <c r="F363" s="13"/>
      <c r="G363" s="13"/>
      <c r="H363" s="13"/>
      <c r="I363" s="295" t="s">
        <v>442</v>
      </c>
      <c r="J363" s="13"/>
      <c r="K363" s="13"/>
      <c r="L363" s="13"/>
      <c r="M363" s="13"/>
    </row>
    <row r="364" spans="1:21" ht="31.5">
      <c r="A364" s="28"/>
      <c r="B364" s="28"/>
      <c r="C364" s="28"/>
      <c r="D364" s="28"/>
      <c r="E364" s="28"/>
      <c r="F364" s="28"/>
      <c r="G364" s="28"/>
      <c r="H364" s="91" t="s">
        <v>79</v>
      </c>
      <c r="I364" s="28"/>
      <c r="J364" s="28"/>
      <c r="K364" s="28"/>
      <c r="L364" s="28"/>
      <c r="M364" s="28"/>
      <c r="N364" s="319"/>
      <c r="O364" s="319"/>
      <c r="P364" s="319"/>
      <c r="Q364" s="319"/>
      <c r="R364" s="319"/>
      <c r="S364" s="319"/>
      <c r="T364" s="319"/>
      <c r="U364" s="319"/>
    </row>
    <row r="365" spans="1:21">
      <c r="A365" s="164" t="s">
        <v>589</v>
      </c>
      <c r="B365" s="165"/>
      <c r="C365" s="165"/>
      <c r="D365" s="165"/>
      <c r="E365" s="165"/>
      <c r="F365" s="165"/>
      <c r="G365" s="165"/>
      <c r="H365" s="165"/>
      <c r="I365" s="165"/>
      <c r="J365" s="165"/>
      <c r="K365" s="165"/>
      <c r="L365" s="165"/>
      <c r="M365" s="165"/>
    </row>
    <row r="366" spans="1:21">
      <c r="A366" s="141">
        <f ca="1">IFERROR(INDIRECT("fixtures!" &amp; Dashboard!J1 &amp;272) - Dashboard!K1/24,"TBC")</f>
        <v>46081.625</v>
      </c>
      <c r="B366" s="92" t="s">
        <v>1</v>
      </c>
      <c r="C366" s="29"/>
      <c r="D366" s="92" t="str">
        <f>IF(ISBLANK(fixtures!$K272),"",fixtures!$K272)</f>
        <v/>
      </c>
      <c r="E366" s="93" t="str">
        <f>IF(ISBLANK(fixtures!$L272),"",":")</f>
        <v/>
      </c>
      <c r="F366" s="94" t="str">
        <f>IF(ISBLANK(fixtures!$L272),"",fixtures!$L272)</f>
        <v/>
      </c>
      <c r="G366" s="29"/>
      <c r="H366" s="94" t="s">
        <v>6</v>
      </c>
      <c r="I366" s="94" t="s">
        <v>48</v>
      </c>
      <c r="J366" s="29"/>
      <c r="K366" s="29"/>
      <c r="L366" s="29"/>
      <c r="M366" s="29"/>
      <c r="N366" s="319"/>
      <c r="O366" s="319"/>
      <c r="P366" s="319"/>
      <c r="Q366" s="319"/>
      <c r="R366" s="319"/>
      <c r="S366" s="319"/>
      <c r="T366" s="319"/>
      <c r="U366" s="319"/>
    </row>
    <row r="367" spans="1:21">
      <c r="A367" s="141">
        <f ca="1">IFERROR(INDIRECT("fixtures!" &amp; Dashboard!J1 &amp;273) - Dashboard!K1/24,"TBC")</f>
        <v>46081.625</v>
      </c>
      <c r="B367" s="92" t="s">
        <v>3</v>
      </c>
      <c r="C367" s="29"/>
      <c r="D367" s="92" t="str">
        <f>IF(ISBLANK(fixtures!$K273),"",fixtures!$K273)</f>
        <v/>
      </c>
      <c r="E367" s="93" t="str">
        <f>IF(ISBLANK(fixtures!$L273),"",":")</f>
        <v/>
      </c>
      <c r="F367" s="94" t="str">
        <f>IF(ISBLANK(fixtures!$L273),"",fixtures!$L273)</f>
        <v/>
      </c>
      <c r="G367" s="29"/>
      <c r="H367" s="94" t="s">
        <v>443</v>
      </c>
      <c r="I367" s="94" t="s">
        <v>43</v>
      </c>
      <c r="J367" s="29"/>
      <c r="K367" s="29"/>
      <c r="L367" s="29"/>
      <c r="M367" s="29"/>
    </row>
    <row r="368" spans="1:21">
      <c r="A368" s="141">
        <f ca="1">IFERROR(INDIRECT("fixtures!" &amp; Dashboard!J1 &amp;274) - Dashboard!K1/24,"TBC")</f>
        <v>46081.625</v>
      </c>
      <c r="B368" s="92" t="s">
        <v>4</v>
      </c>
      <c r="C368" s="29"/>
      <c r="D368" s="92" t="str">
        <f>IF(ISBLANK(fixtures!$K274),"",fixtures!$K274)</f>
        <v/>
      </c>
      <c r="E368" s="93" t="str">
        <f>IF(ISBLANK(fixtures!$L274),"",":")</f>
        <v/>
      </c>
      <c r="F368" s="94" t="str">
        <f>IF(ISBLANK(fixtures!$L274),"",fixtures!$L274)</f>
        <v/>
      </c>
      <c r="G368" s="29"/>
      <c r="H368" s="94" t="s">
        <v>188</v>
      </c>
      <c r="I368" s="94" t="s">
        <v>217</v>
      </c>
      <c r="J368" s="29"/>
      <c r="K368" s="29"/>
      <c r="L368" s="29"/>
      <c r="M368" s="29"/>
    </row>
    <row r="369" spans="1:21">
      <c r="A369" s="141">
        <f ca="1">IFERROR(INDIRECT("fixtures!" &amp; Dashboard!J1 &amp;275) - Dashboard!K1/24,"TBC")</f>
        <v>46081.625</v>
      </c>
      <c r="B369" s="92" t="s">
        <v>5</v>
      </c>
      <c r="C369" s="29"/>
      <c r="D369" s="92" t="str">
        <f>IF(ISBLANK(fixtures!$K275),"",fixtures!$K275)</f>
        <v/>
      </c>
      <c r="E369" s="93" t="str">
        <f>IF(ISBLANK(fixtures!$L275),"",":")</f>
        <v/>
      </c>
      <c r="F369" s="94" t="str">
        <f>IF(ISBLANK(fixtures!$L275),"",fixtures!$L275)</f>
        <v/>
      </c>
      <c r="G369" s="29"/>
      <c r="H369" s="94" t="s">
        <v>107</v>
      </c>
      <c r="I369" s="94" t="s">
        <v>451</v>
      </c>
      <c r="J369" s="29"/>
      <c r="K369" s="29"/>
      <c r="L369" s="29"/>
      <c r="M369" s="29"/>
    </row>
    <row r="370" spans="1:21">
      <c r="A370" s="141">
        <f ca="1">IFERROR(INDIRECT("fixtures!" &amp; Dashboard!J1 &amp;276) - Dashboard!K1/24,"TBC")</f>
        <v>46081.625</v>
      </c>
      <c r="B370" s="92" t="s">
        <v>108</v>
      </c>
      <c r="C370" s="29"/>
      <c r="D370" s="92" t="str">
        <f>IF(ISBLANK(fixtures!$K276),"",fixtures!$K276)</f>
        <v/>
      </c>
      <c r="E370" s="93" t="str">
        <f>IF(ISBLANK(fixtures!$L276),"",":")</f>
        <v/>
      </c>
      <c r="F370" s="94" t="str">
        <f>IF(ISBLANK(fixtures!$L276),"",fixtures!$L276)</f>
        <v/>
      </c>
      <c r="G370" s="29"/>
      <c r="H370" s="94" t="s">
        <v>13</v>
      </c>
      <c r="I370" s="94" t="s">
        <v>157</v>
      </c>
      <c r="J370" s="29"/>
      <c r="K370" s="29"/>
      <c r="L370" s="29"/>
      <c r="M370" s="29"/>
    </row>
    <row r="371" spans="1:21">
      <c r="A371" s="141">
        <f ca="1">IFERROR(INDIRECT("fixtures!" &amp; Dashboard!J1 &amp;277) - Dashboard!K1/24,"TBC")</f>
        <v>46081.625</v>
      </c>
      <c r="B371" s="92" t="s">
        <v>444</v>
      </c>
      <c r="C371" s="29"/>
      <c r="D371" s="92" t="str">
        <f>IF(ISBLANK(fixtures!$K277),"",fixtures!$K277)</f>
        <v/>
      </c>
      <c r="E371" s="93" t="str">
        <f>IF(ISBLANK(fixtures!$L277),"",":")</f>
        <v/>
      </c>
      <c r="F371" s="94" t="str">
        <f>IF(ISBLANK(fixtures!$L277),"",fixtures!$L277)</f>
        <v/>
      </c>
      <c r="G371" s="29"/>
      <c r="H371" s="94" t="s">
        <v>10</v>
      </c>
      <c r="I371" s="94" t="s">
        <v>449</v>
      </c>
      <c r="J371" s="29"/>
      <c r="K371" s="29"/>
      <c r="L371" s="29"/>
      <c r="M371" s="29"/>
    </row>
    <row r="372" spans="1:21">
      <c r="A372" s="141">
        <f ca="1">IFERROR(INDIRECT("fixtures!" &amp; Dashboard!J1 &amp;278) - Dashboard!K1/24,"TBC")</f>
        <v>46081.625</v>
      </c>
      <c r="B372" s="92" t="s">
        <v>9</v>
      </c>
      <c r="C372" s="29"/>
      <c r="D372" s="92" t="str">
        <f>IF(ISBLANK(fixtures!$K278),"",fixtures!$K278)</f>
        <v/>
      </c>
      <c r="E372" s="93" t="str">
        <f>IF(ISBLANK(fixtures!$L278),"",":")</f>
        <v/>
      </c>
      <c r="F372" s="94" t="str">
        <f>IF(ISBLANK(fixtures!$L278),"",fixtures!$L278)</f>
        <v/>
      </c>
      <c r="G372" s="29"/>
      <c r="H372" s="94" t="s">
        <v>14</v>
      </c>
      <c r="I372" s="94" t="s">
        <v>40</v>
      </c>
      <c r="J372" s="29"/>
      <c r="K372" s="29"/>
      <c r="L372" s="29"/>
      <c r="M372" s="29"/>
    </row>
    <row r="373" spans="1:21">
      <c r="A373" s="141">
        <f ca="1">IFERROR(INDIRECT("fixtures!" &amp; Dashboard!J1 &amp;279) - Dashboard!K1/24,"TBC")</f>
        <v>46081.625</v>
      </c>
      <c r="B373" s="92" t="s">
        <v>11</v>
      </c>
      <c r="C373" s="29"/>
      <c r="D373" s="92" t="str">
        <f>IF(ISBLANK(fixtures!$K279),"",fixtures!$K279)</f>
        <v/>
      </c>
      <c r="E373" s="93" t="str">
        <f>IF(ISBLANK(fixtures!$L279),"",":")</f>
        <v/>
      </c>
      <c r="F373" s="94" t="str">
        <f>IF(ISBLANK(fixtures!$L279),"",fixtures!$L279)</f>
        <v/>
      </c>
      <c r="G373" s="29"/>
      <c r="H373" s="94" t="s">
        <v>7</v>
      </c>
      <c r="I373" s="94" t="s">
        <v>47</v>
      </c>
      <c r="J373" s="29"/>
      <c r="K373" s="29"/>
      <c r="L373" s="29"/>
      <c r="M373" s="29"/>
    </row>
    <row r="374" spans="1:21">
      <c r="A374" s="141">
        <f ca="1">IFERROR(INDIRECT("fixtures!" &amp; Dashboard!J1 &amp;280) - Dashboard!K1/24,"TBC")</f>
        <v>46081.625</v>
      </c>
      <c r="B374" s="92" t="s">
        <v>12</v>
      </c>
      <c r="C374" s="29"/>
      <c r="D374" s="92" t="str">
        <f>IF(ISBLANK(fixtures!$K280),"",fixtures!$K280)</f>
        <v/>
      </c>
      <c r="E374" s="93" t="str">
        <f>IF(ISBLANK(fixtures!$L280),"",":")</f>
        <v/>
      </c>
      <c r="F374" s="94" t="str">
        <f>IF(ISBLANK(fixtures!$L280),"",fixtures!$L280)</f>
        <v/>
      </c>
      <c r="G374" s="29"/>
      <c r="H374" s="94" t="s">
        <v>8</v>
      </c>
      <c r="I374" s="94" t="s">
        <v>46</v>
      </c>
      <c r="J374" s="29"/>
      <c r="K374" s="29"/>
      <c r="L374" s="29"/>
      <c r="M374" s="29"/>
      <c r="N374" s="319"/>
      <c r="O374" s="319"/>
      <c r="P374" s="319"/>
      <c r="Q374" s="319"/>
      <c r="R374" s="319"/>
      <c r="S374" s="319"/>
      <c r="T374" s="319"/>
      <c r="U374" s="319"/>
    </row>
    <row r="375" spans="1:21">
      <c r="A375" s="141">
        <f ca="1">IFERROR(INDIRECT("fixtures!" &amp; Dashboard!J1 &amp;281) - Dashboard!K1/24,"TBC")</f>
        <v>46081.625</v>
      </c>
      <c r="B375" s="92" t="s">
        <v>15</v>
      </c>
      <c r="C375" s="29"/>
      <c r="D375" s="92" t="str">
        <f>IF(ISBLANK(fixtures!$K281),"",fixtures!$K281)</f>
        <v/>
      </c>
      <c r="E375" s="93" t="str">
        <f>IF(ISBLANK(fixtures!$L281),"",":")</f>
        <v/>
      </c>
      <c r="F375" s="94" t="str">
        <f>IF(ISBLANK(fixtures!$L281),"",fixtures!$L281)</f>
        <v/>
      </c>
      <c r="G375" s="29"/>
      <c r="H375" s="94" t="s">
        <v>2</v>
      </c>
      <c r="I375" s="94" t="s">
        <v>52</v>
      </c>
      <c r="J375" s="29"/>
      <c r="K375" s="29"/>
      <c r="L375" s="29"/>
      <c r="M375" s="29"/>
    </row>
    <row r="376" spans="1:21">
      <c r="A376" s="95" t="str">
        <f>Dashboard!D1 &amp; " Time"</f>
        <v>London Time</v>
      </c>
      <c r="B376" s="29"/>
      <c r="C376" s="29"/>
      <c r="D376" s="29"/>
      <c r="E376" s="29"/>
      <c r="F376" s="29"/>
      <c r="G376" s="29"/>
      <c r="H376" s="29"/>
      <c r="I376" s="299" t="s">
        <v>442</v>
      </c>
      <c r="J376" s="29"/>
      <c r="K376" s="29"/>
      <c r="L376" s="29"/>
      <c r="M376" s="29"/>
    </row>
    <row r="377" spans="1:21" ht="31.5">
      <c r="A377" s="20"/>
      <c r="B377" s="20"/>
      <c r="C377" s="20"/>
      <c r="D377" s="20"/>
      <c r="E377" s="20"/>
      <c r="F377" s="20"/>
      <c r="G377" s="20"/>
      <c r="H377" s="151" t="s">
        <v>80</v>
      </c>
      <c r="I377" s="20"/>
      <c r="J377" s="20"/>
      <c r="K377" s="20"/>
      <c r="L377" s="20"/>
      <c r="M377" s="20"/>
    </row>
    <row r="378" spans="1:21">
      <c r="A378" s="160" t="s">
        <v>590</v>
      </c>
      <c r="B378" s="161"/>
      <c r="C378" s="161"/>
      <c r="D378" s="161"/>
      <c r="E378" s="161"/>
      <c r="F378" s="161"/>
      <c r="G378" s="161"/>
      <c r="H378" s="161"/>
      <c r="I378" s="161"/>
      <c r="J378" s="161"/>
      <c r="K378" s="161"/>
      <c r="L378" s="161"/>
      <c r="M378" s="161"/>
    </row>
    <row r="379" spans="1:21">
      <c r="A379" s="139">
        <f ca="1">IFERROR(INDIRECT("fixtures!" &amp; Dashboard!J1 &amp;282) - Dashboard!K1/24,"TBC")</f>
        <v>46085.833333333336</v>
      </c>
      <c r="B379" s="80" t="s">
        <v>2</v>
      </c>
      <c r="C379" s="21"/>
      <c r="D379" s="80" t="str">
        <f>IF(ISBLANK(fixtures!$K282),"",fixtures!$K282)</f>
        <v/>
      </c>
      <c r="E379" s="81" t="str">
        <f>IF(ISBLANK(fixtures!$L282),"",":")</f>
        <v/>
      </c>
      <c r="F379" s="82" t="str">
        <f>IF(ISBLANK(fixtures!$L282),"",fixtures!$L282)</f>
        <v/>
      </c>
      <c r="G379" s="21"/>
      <c r="H379" s="82" t="s">
        <v>6</v>
      </c>
      <c r="I379" s="82" t="s">
        <v>49</v>
      </c>
      <c r="J379" s="21"/>
      <c r="K379" s="21"/>
      <c r="L379" s="21"/>
      <c r="M379" s="21"/>
      <c r="N379" s="319"/>
      <c r="O379" s="319"/>
      <c r="P379" s="319"/>
      <c r="Q379" s="319"/>
      <c r="R379" s="319"/>
      <c r="S379" s="319"/>
      <c r="T379" s="319"/>
      <c r="U379" s="319"/>
    </row>
    <row r="380" spans="1:21">
      <c r="A380" s="139">
        <f ca="1">IFERROR(INDIRECT("fixtures!" &amp; Dashboard!J1 &amp;283) - Dashboard!K1/24,"TBC")</f>
        <v>46085.833333333336</v>
      </c>
      <c r="B380" s="80" t="s">
        <v>3</v>
      </c>
      <c r="C380" s="21"/>
      <c r="D380" s="80" t="str">
        <f>IF(ISBLANK(fixtures!$K283),"",fixtures!$K283)</f>
        <v/>
      </c>
      <c r="E380" s="81" t="str">
        <f>IF(ISBLANK(fixtures!$L283),"",":")</f>
        <v/>
      </c>
      <c r="F380" s="82" t="str">
        <f>IF(ISBLANK(fixtures!$L283),"",fixtures!$L283)</f>
        <v/>
      </c>
      <c r="G380" s="21"/>
      <c r="H380" s="82" t="s">
        <v>107</v>
      </c>
      <c r="I380" s="82" t="s">
        <v>43</v>
      </c>
      <c r="J380" s="21"/>
      <c r="K380" s="21"/>
      <c r="L380" s="21"/>
      <c r="M380" s="21"/>
    </row>
    <row r="381" spans="1:21">
      <c r="A381" s="139">
        <f ca="1">IFERROR(INDIRECT("fixtures!" &amp; Dashboard!J1 &amp;284) - Dashboard!K1/24,"TBC")</f>
        <v>46085.833333333336</v>
      </c>
      <c r="B381" s="80" t="s">
        <v>4</v>
      </c>
      <c r="C381" s="21"/>
      <c r="D381" s="80" t="str">
        <f>IF(ISBLANK(fixtures!$K284),"",fixtures!$K284)</f>
        <v/>
      </c>
      <c r="E381" s="81" t="str">
        <f>IF(ISBLANK(fixtures!$L284),"",":")</f>
        <v/>
      </c>
      <c r="F381" s="82" t="str">
        <f>IF(ISBLANK(fixtures!$L284),"",fixtures!$L284)</f>
        <v/>
      </c>
      <c r="G381" s="21"/>
      <c r="H381" s="82" t="s">
        <v>1</v>
      </c>
      <c r="I381" s="82" t="s">
        <v>217</v>
      </c>
      <c r="J381" s="21"/>
      <c r="K381" s="21"/>
      <c r="L381" s="21"/>
      <c r="M381" s="21"/>
    </row>
    <row r="382" spans="1:21">
      <c r="A382" s="139">
        <f ca="1">IFERROR(INDIRECT("fixtures!" &amp; Dashboard!J1 &amp;285) - Dashboard!K1/24,"TBC")</f>
        <v>46085.833333333336</v>
      </c>
      <c r="B382" s="80" t="s">
        <v>8</v>
      </c>
      <c r="C382" s="21"/>
      <c r="D382" s="80" t="str">
        <f>IF(ISBLANK(fixtures!$K285),"",fixtures!$K285)</f>
        <v/>
      </c>
      <c r="E382" s="81" t="str">
        <f>IF(ISBLANK(fixtures!$L285),"",":")</f>
        <v/>
      </c>
      <c r="F382" s="82" t="str">
        <f>IF(ISBLANK(fixtures!$L285),"",fixtures!$L285)</f>
        <v/>
      </c>
      <c r="G382" s="21"/>
      <c r="H382" s="82" t="s">
        <v>5</v>
      </c>
      <c r="I382" s="82" t="s">
        <v>452</v>
      </c>
      <c r="J382" s="21"/>
      <c r="K382" s="21"/>
      <c r="L382" s="21"/>
      <c r="M382" s="21"/>
    </row>
    <row r="383" spans="1:21">
      <c r="A383" s="139">
        <f ca="1">IFERROR(INDIRECT("fixtures!" &amp; Dashboard!J1 &amp;286) - Dashboard!K1/24,"TBC")</f>
        <v>46085.833333333336</v>
      </c>
      <c r="B383" s="80" t="s">
        <v>108</v>
      </c>
      <c r="C383" s="21"/>
      <c r="D383" s="80" t="str">
        <f>IF(ISBLANK(fixtures!$K286),"",fixtures!$K286)</f>
        <v/>
      </c>
      <c r="E383" s="81" t="str">
        <f>IF(ISBLANK(fixtures!$L286),"",":")</f>
        <v/>
      </c>
      <c r="F383" s="82" t="str">
        <f>IF(ISBLANK(fixtures!$L286),"",fixtures!$L286)</f>
        <v/>
      </c>
      <c r="G383" s="21"/>
      <c r="H383" s="82" t="s">
        <v>14</v>
      </c>
      <c r="I383" s="82" t="s">
        <v>157</v>
      </c>
      <c r="J383" s="21"/>
      <c r="K383" s="21"/>
      <c r="L383" s="21"/>
      <c r="M383" s="21"/>
    </row>
    <row r="384" spans="1:21">
      <c r="A384" s="139">
        <f ca="1">IFERROR(INDIRECT("fixtures!" &amp; Dashboard!J1 &amp;287) - Dashboard!K1/24,"TBC")</f>
        <v>46085.833333333336</v>
      </c>
      <c r="B384" s="80" t="s">
        <v>444</v>
      </c>
      <c r="C384" s="21"/>
      <c r="D384" s="80" t="str">
        <f>IF(ISBLANK(fixtures!$K287),"",fixtures!$K287)</f>
        <v/>
      </c>
      <c r="E384" s="81" t="str">
        <f>IF(ISBLANK(fixtures!$L287),"",":")</f>
        <v/>
      </c>
      <c r="F384" s="82" t="str">
        <f>IF(ISBLANK(fixtures!$L287),"",fixtures!$L287)</f>
        <v/>
      </c>
      <c r="G384" s="21"/>
      <c r="H384" s="82" t="s">
        <v>443</v>
      </c>
      <c r="I384" s="82" t="s">
        <v>449</v>
      </c>
      <c r="J384" s="21"/>
      <c r="K384" s="21"/>
      <c r="L384" s="21"/>
      <c r="M384" s="21"/>
    </row>
    <row r="385" spans="1:21">
      <c r="A385" s="139">
        <f ca="1">IFERROR(INDIRECT("fixtures!" &amp; Dashboard!J1 &amp;288) - Dashboard!K1/24,"TBC")</f>
        <v>46085.833333333336</v>
      </c>
      <c r="B385" s="80" t="s">
        <v>10</v>
      </c>
      <c r="C385" s="21"/>
      <c r="D385" s="80" t="str">
        <f>IF(ISBLANK(fixtures!$K288),"",fixtures!$K288)</f>
        <v/>
      </c>
      <c r="E385" s="81" t="str">
        <f>IF(ISBLANK(fixtures!$L288),"",":")</f>
        <v/>
      </c>
      <c r="F385" s="82" t="str">
        <f>IF(ISBLANK(fixtures!$L288),"",fixtures!$L288)</f>
        <v/>
      </c>
      <c r="G385" s="21"/>
      <c r="H385" s="82" t="s">
        <v>188</v>
      </c>
      <c r="I385" s="82" t="s">
        <v>50</v>
      </c>
      <c r="J385" s="21"/>
      <c r="K385" s="21"/>
      <c r="L385" s="21"/>
      <c r="M385" s="21"/>
    </row>
    <row r="386" spans="1:21">
      <c r="A386" s="139">
        <f ca="1">IFERROR(INDIRECT("fixtures!" &amp; Dashboard!J1 &amp;289) - Dashboard!K1/24,"TBC")</f>
        <v>46085.833333333336</v>
      </c>
      <c r="B386" s="80" t="s">
        <v>12</v>
      </c>
      <c r="C386" s="21"/>
      <c r="D386" s="80" t="str">
        <f>IF(ISBLANK(fixtures!$K289),"",fixtures!$K289)</f>
        <v/>
      </c>
      <c r="E386" s="81" t="str">
        <f>IF(ISBLANK(fixtures!$L289),"",":")</f>
        <v/>
      </c>
      <c r="F386" s="82" t="str">
        <f>IF(ISBLANK(fixtures!$L289),"",fixtures!$L289)</f>
        <v/>
      </c>
      <c r="G386" s="21"/>
      <c r="H386" s="82" t="s">
        <v>11</v>
      </c>
      <c r="I386" s="82" t="s">
        <v>46</v>
      </c>
      <c r="J386" s="21"/>
      <c r="K386" s="21"/>
      <c r="L386" s="21"/>
      <c r="M386" s="21"/>
    </row>
    <row r="387" spans="1:21">
      <c r="A387" s="139">
        <f ca="1">IFERROR(INDIRECT("fixtures!" &amp; Dashboard!J1 &amp;290) - Dashboard!K1/24,"TBC")</f>
        <v>46085.833333333336</v>
      </c>
      <c r="B387" s="80" t="s">
        <v>13</v>
      </c>
      <c r="C387" s="21"/>
      <c r="D387" s="80" t="str">
        <f>IF(ISBLANK(fixtures!$K290),"",fixtures!$K290)</f>
        <v/>
      </c>
      <c r="E387" s="81" t="str">
        <f>IF(ISBLANK(fixtures!$L290),"",":")</f>
        <v/>
      </c>
      <c r="F387" s="82" t="str">
        <f>IF(ISBLANK(fixtures!$L290),"",fixtures!$L290)</f>
        <v/>
      </c>
      <c r="G387" s="21"/>
      <c r="H387" s="82" t="s">
        <v>7</v>
      </c>
      <c r="I387" s="82" t="s">
        <v>45</v>
      </c>
      <c r="J387" s="21"/>
      <c r="K387" s="21"/>
      <c r="L387" s="21"/>
      <c r="M387" s="21"/>
    </row>
    <row r="388" spans="1:21">
      <c r="A388" s="139">
        <f ca="1">IFERROR(INDIRECT("fixtures!" &amp; Dashboard!J1 &amp;291) - Dashboard!K1/24,"TBC")</f>
        <v>46085.833333333336</v>
      </c>
      <c r="B388" s="80" t="s">
        <v>15</v>
      </c>
      <c r="C388" s="21"/>
      <c r="D388" s="80" t="str">
        <f>IF(ISBLANK(fixtures!$K291),"",fixtures!$K291)</f>
        <v/>
      </c>
      <c r="E388" s="81" t="str">
        <f>IF(ISBLANK(fixtures!$L291),"",":")</f>
        <v/>
      </c>
      <c r="F388" s="82" t="str">
        <f>IF(ISBLANK(fixtures!$L291),"",fixtures!$L291)</f>
        <v/>
      </c>
      <c r="G388" s="21"/>
      <c r="H388" s="82" t="s">
        <v>9</v>
      </c>
      <c r="I388" s="82" t="s">
        <v>52</v>
      </c>
      <c r="J388" s="21"/>
      <c r="K388" s="21"/>
      <c r="L388" s="21"/>
      <c r="M388" s="21"/>
    </row>
    <row r="389" spans="1:21">
      <c r="A389" s="83" t="str">
        <f>Dashboard!D1 &amp; " Time"</f>
        <v>London Time</v>
      </c>
      <c r="B389" s="21"/>
      <c r="C389" s="21"/>
      <c r="D389" s="21"/>
      <c r="E389" s="21"/>
      <c r="F389" s="21"/>
      <c r="G389" s="21"/>
      <c r="H389" s="21"/>
      <c r="I389" s="298" t="s">
        <v>442</v>
      </c>
      <c r="J389" s="21"/>
      <c r="K389" s="21"/>
      <c r="L389" s="21"/>
      <c r="M389" s="21"/>
    </row>
    <row r="390" spans="1:21" ht="31.5">
      <c r="A390" s="30"/>
      <c r="B390" s="30"/>
      <c r="C390" s="30"/>
      <c r="D390" s="30"/>
      <c r="E390" s="30"/>
      <c r="F390" s="30"/>
      <c r="G390" s="30"/>
      <c r="H390" s="96" t="s">
        <v>81</v>
      </c>
      <c r="I390" s="30"/>
      <c r="J390" s="30"/>
      <c r="K390" s="30"/>
      <c r="L390" s="30"/>
      <c r="M390" s="30"/>
    </row>
    <row r="391" spans="1:21">
      <c r="A391" s="166" t="s">
        <v>591</v>
      </c>
      <c r="B391" s="167"/>
      <c r="C391" s="167"/>
      <c r="D391" s="167"/>
      <c r="E391" s="167"/>
      <c r="F391" s="167"/>
      <c r="G391" s="167"/>
      <c r="H391" s="167"/>
      <c r="I391" s="167"/>
      <c r="J391" s="167"/>
      <c r="K391" s="167"/>
      <c r="L391" s="167"/>
      <c r="M391" s="167"/>
    </row>
    <row r="392" spans="1:21">
      <c r="A392" s="142">
        <f ca="1">IFERROR(INDIRECT("fixtures!" &amp; Dashboard!J1 &amp;292) - Dashboard!K1/24,"TBC")</f>
        <v>46095.625</v>
      </c>
      <c r="B392" s="97" t="s">
        <v>1</v>
      </c>
      <c r="C392" s="31"/>
      <c r="D392" s="97" t="str">
        <f>IF(ISBLANK(fixtures!$K292),"",fixtures!$K292)</f>
        <v/>
      </c>
      <c r="E392" s="98" t="str">
        <f>IF(ISBLANK(fixtures!$L292),"",":")</f>
        <v/>
      </c>
      <c r="F392" s="99" t="str">
        <f>IF(ISBLANK(fixtures!$L292),"",fixtures!$L292)</f>
        <v/>
      </c>
      <c r="G392" s="31"/>
      <c r="H392" s="99" t="s">
        <v>8</v>
      </c>
      <c r="I392" s="99" t="s">
        <v>48</v>
      </c>
      <c r="J392" s="31"/>
      <c r="K392" s="31"/>
      <c r="L392" s="31"/>
      <c r="M392" s="31"/>
      <c r="N392" s="319"/>
      <c r="O392" s="319"/>
      <c r="P392" s="319"/>
      <c r="Q392" s="319"/>
      <c r="R392" s="319"/>
      <c r="S392" s="319"/>
      <c r="T392" s="319"/>
      <c r="U392" s="319"/>
    </row>
    <row r="393" spans="1:21">
      <c r="A393" s="142">
        <f ca="1">IFERROR(INDIRECT("fixtures!" &amp; Dashboard!J1 &amp;293) - Dashboard!K1/24,"TBC")</f>
        <v>46095.625</v>
      </c>
      <c r="B393" s="97" t="s">
        <v>107</v>
      </c>
      <c r="C393" s="31"/>
      <c r="D393" s="97" t="str">
        <f>IF(ISBLANK(fixtures!$K293),"",fixtures!$K293)</f>
        <v/>
      </c>
      <c r="E393" s="98" t="str">
        <f>IF(ISBLANK(fixtures!$L293),"",":")</f>
        <v/>
      </c>
      <c r="F393" s="99" t="str">
        <f>IF(ISBLANK(fixtures!$L293),"",fixtures!$L293)</f>
        <v/>
      </c>
      <c r="G393" s="31"/>
      <c r="H393" s="99" t="s">
        <v>15</v>
      </c>
      <c r="I393" s="99" t="s">
        <v>172</v>
      </c>
      <c r="J393" s="31"/>
      <c r="K393" s="31"/>
      <c r="L393" s="31"/>
      <c r="M393" s="31"/>
    </row>
    <row r="394" spans="1:21">
      <c r="A394" s="142">
        <f ca="1">IFERROR(INDIRECT("fixtures!" &amp; Dashboard!J1 &amp;294) - Dashboard!K1/24,"TBC")</f>
        <v>46095.625</v>
      </c>
      <c r="B394" s="97" t="s">
        <v>5</v>
      </c>
      <c r="C394" s="31"/>
      <c r="D394" s="97" t="str">
        <f>IF(ISBLANK(fixtures!$K294),"",fixtures!$K294)</f>
        <v/>
      </c>
      <c r="E394" s="98" t="str">
        <f>IF(ISBLANK(fixtures!$L294),"",":")</f>
        <v/>
      </c>
      <c r="F394" s="99" t="str">
        <f>IF(ISBLANK(fixtures!$L294),"",fixtures!$L294)</f>
        <v/>
      </c>
      <c r="G394" s="31"/>
      <c r="H394" s="99" t="s">
        <v>3</v>
      </c>
      <c r="I394" s="99" t="s">
        <v>451</v>
      </c>
      <c r="J394" s="31"/>
      <c r="K394" s="31"/>
      <c r="L394" s="31"/>
      <c r="M394" s="31"/>
    </row>
    <row r="395" spans="1:21">
      <c r="A395" s="142">
        <f ca="1">IFERROR(INDIRECT("fixtures!" &amp; Dashboard!J1 &amp;295) - Dashboard!K1/24,"TBC")</f>
        <v>46095.625</v>
      </c>
      <c r="B395" s="97" t="s">
        <v>6</v>
      </c>
      <c r="C395" s="31"/>
      <c r="D395" s="97" t="str">
        <f>IF(ISBLANK(fixtures!$K295),"",fixtures!$K295)</f>
        <v/>
      </c>
      <c r="E395" s="98" t="str">
        <f>IF(ISBLANK(fixtures!$L295),"",":")</f>
        <v/>
      </c>
      <c r="F395" s="99" t="str">
        <f>IF(ISBLANK(fixtures!$L295),"",fixtures!$L295)</f>
        <v/>
      </c>
      <c r="G395" s="31"/>
      <c r="H395" s="99" t="s">
        <v>12</v>
      </c>
      <c r="I395" s="99" t="s">
        <v>51</v>
      </c>
      <c r="J395" s="31"/>
      <c r="K395" s="31"/>
      <c r="L395" s="31"/>
      <c r="M395" s="31"/>
    </row>
    <row r="396" spans="1:21">
      <c r="A396" s="142">
        <f ca="1">IFERROR(INDIRECT("fixtures!" &amp; Dashboard!J1 &amp;296) - Dashboard!K1/24,"TBC")</f>
        <v>46095.625</v>
      </c>
      <c r="B396" s="97" t="s">
        <v>7</v>
      </c>
      <c r="C396" s="31"/>
      <c r="D396" s="97" t="str">
        <f>IF(ISBLANK(fixtures!$K296),"",fixtures!$K296)</f>
        <v/>
      </c>
      <c r="E396" s="98" t="str">
        <f>IF(ISBLANK(fixtures!$L296),"",":")</f>
        <v/>
      </c>
      <c r="F396" s="99" t="str">
        <f>IF(ISBLANK(fixtures!$L296),"",fixtures!$L296)</f>
        <v/>
      </c>
      <c r="G396" s="31"/>
      <c r="H396" s="99" t="s">
        <v>444</v>
      </c>
      <c r="I396" s="99" t="s">
        <v>44</v>
      </c>
      <c r="J396" s="31"/>
      <c r="K396" s="31"/>
      <c r="L396" s="31"/>
      <c r="M396" s="31"/>
    </row>
    <row r="397" spans="1:21">
      <c r="A397" s="142">
        <f ca="1">IFERROR(INDIRECT("fixtures!" &amp; Dashboard!J1 &amp;297) - Dashboard!K1/24,"TBC")</f>
        <v>46095.625</v>
      </c>
      <c r="B397" s="97" t="s">
        <v>9</v>
      </c>
      <c r="C397" s="31"/>
      <c r="D397" s="97" t="str">
        <f>IF(ISBLANK(fixtures!$K297),"",fixtures!$K297)</f>
        <v/>
      </c>
      <c r="E397" s="98" t="str">
        <f>IF(ISBLANK(fixtures!$L297),"",":")</f>
        <v/>
      </c>
      <c r="F397" s="99" t="str">
        <f>IF(ISBLANK(fixtures!$L297),"",fixtures!$L297)</f>
        <v/>
      </c>
      <c r="G397" s="31"/>
      <c r="H397" s="99" t="s">
        <v>13</v>
      </c>
      <c r="I397" s="99" t="s">
        <v>40</v>
      </c>
      <c r="J397" s="31"/>
      <c r="K397" s="31"/>
      <c r="L397" s="31"/>
      <c r="M397" s="31"/>
    </row>
    <row r="398" spans="1:21">
      <c r="A398" s="142">
        <f ca="1">IFERROR(INDIRECT("fixtures!" &amp; Dashboard!J1 &amp;298) - Dashboard!K1/24,"TBC")</f>
        <v>46095.625</v>
      </c>
      <c r="B398" s="97" t="s">
        <v>11</v>
      </c>
      <c r="C398" s="31"/>
      <c r="D398" s="97" t="str">
        <f>IF(ISBLANK(fixtures!$K298),"",fixtures!$K298)</f>
        <v/>
      </c>
      <c r="E398" s="98" t="str">
        <f>IF(ISBLANK(fixtures!$L298),"",":")</f>
        <v/>
      </c>
      <c r="F398" s="99" t="str">
        <f>IF(ISBLANK(fixtures!$L298),"",fixtures!$L298)</f>
        <v/>
      </c>
      <c r="G398" s="31"/>
      <c r="H398" s="99" t="s">
        <v>2</v>
      </c>
      <c r="I398" s="99" t="s">
        <v>47</v>
      </c>
      <c r="J398" s="31"/>
      <c r="K398" s="31"/>
      <c r="L398" s="31"/>
      <c r="M398" s="31"/>
    </row>
    <row r="399" spans="1:21">
      <c r="A399" s="142">
        <f ca="1">IFERROR(INDIRECT("fixtures!" &amp; Dashboard!J1 &amp;299) - Dashboard!K1/24,"TBC")</f>
        <v>46095.625</v>
      </c>
      <c r="B399" s="97" t="s">
        <v>188</v>
      </c>
      <c r="C399" s="31"/>
      <c r="D399" s="97" t="str">
        <f>IF(ISBLANK(fixtures!$K299),"",fixtures!$K299)</f>
        <v/>
      </c>
      <c r="E399" s="98" t="str">
        <f>IF(ISBLANK(fixtures!$L299),"",":")</f>
        <v/>
      </c>
      <c r="F399" s="99" t="str">
        <f>IF(ISBLANK(fixtures!$L299),"",fixtures!$L299)</f>
        <v/>
      </c>
      <c r="G399" s="31"/>
      <c r="H399" s="99" t="s">
        <v>108</v>
      </c>
      <c r="I399" s="99" t="s">
        <v>158</v>
      </c>
      <c r="J399" s="31"/>
      <c r="K399" s="31"/>
      <c r="L399" s="31"/>
      <c r="M399" s="31"/>
    </row>
    <row r="400" spans="1:21">
      <c r="A400" s="142">
        <f ca="1">IFERROR(INDIRECT("fixtures!" &amp; Dashboard!J1 &amp;300) - Dashboard!K1/24,"TBC")</f>
        <v>46095.625</v>
      </c>
      <c r="B400" s="97" t="s">
        <v>443</v>
      </c>
      <c r="C400" s="31"/>
      <c r="D400" s="97" t="str">
        <f>IF(ISBLANK(fixtures!$K300),"",fixtures!$K300)</f>
        <v/>
      </c>
      <c r="E400" s="98" t="str">
        <f>IF(ISBLANK(fixtures!$L300),"",":")</f>
        <v/>
      </c>
      <c r="F400" s="99" t="str">
        <f>IF(ISBLANK(fixtures!$L300),"",fixtures!$L300)</f>
        <v/>
      </c>
      <c r="G400" s="31"/>
      <c r="H400" s="99" t="s">
        <v>4</v>
      </c>
      <c r="I400" s="99" t="s">
        <v>448</v>
      </c>
      <c r="J400" s="31"/>
      <c r="K400" s="31"/>
      <c r="L400" s="31"/>
      <c r="M400" s="31"/>
    </row>
    <row r="401" spans="1:21">
      <c r="A401" s="142">
        <f ca="1">IFERROR(INDIRECT("fixtures!" &amp; Dashboard!J1 &amp;301) - Dashboard!K1/24,"TBC")</f>
        <v>46095.625</v>
      </c>
      <c r="B401" s="97" t="s">
        <v>14</v>
      </c>
      <c r="C401" s="31"/>
      <c r="D401" s="97" t="str">
        <f>IF(ISBLANK(fixtures!$K301),"",fixtures!$K301)</f>
        <v/>
      </c>
      <c r="E401" s="98" t="str">
        <f>IF(ISBLANK(fixtures!$L301),"",":")</f>
        <v/>
      </c>
      <c r="F401" s="99" t="str">
        <f>IF(ISBLANK(fixtures!$L301),"",fixtures!$L301)</f>
        <v/>
      </c>
      <c r="G401" s="31"/>
      <c r="H401" s="99" t="s">
        <v>10</v>
      </c>
      <c r="I401" s="99" t="s">
        <v>42</v>
      </c>
      <c r="J401" s="31"/>
      <c r="K401" s="31"/>
      <c r="L401" s="31"/>
      <c r="M401" s="31"/>
    </row>
    <row r="402" spans="1:21">
      <c r="A402" s="100" t="str">
        <f>Dashboard!D1 &amp; " Time"</f>
        <v>London Time</v>
      </c>
      <c r="B402" s="31"/>
      <c r="C402" s="31"/>
      <c r="D402" s="31"/>
      <c r="E402" s="31"/>
      <c r="F402" s="31"/>
      <c r="G402" s="31"/>
      <c r="H402" s="31"/>
      <c r="I402" s="300" t="s">
        <v>442</v>
      </c>
      <c r="J402" s="31"/>
      <c r="K402" s="31"/>
      <c r="L402" s="31"/>
      <c r="M402" s="31"/>
    </row>
    <row r="403" spans="1:21" ht="31.5">
      <c r="A403" s="5"/>
      <c r="B403" s="5"/>
      <c r="C403" s="5"/>
      <c r="D403" s="5"/>
      <c r="E403" s="5"/>
      <c r="F403" s="5"/>
      <c r="G403" s="5"/>
      <c r="H403" s="65" t="s">
        <v>82</v>
      </c>
      <c r="I403" s="5"/>
      <c r="J403" s="5"/>
      <c r="K403" s="5"/>
      <c r="L403" s="5"/>
      <c r="M403" s="5"/>
    </row>
    <row r="404" spans="1:21">
      <c r="A404" s="152" t="s">
        <v>592</v>
      </c>
      <c r="B404" s="153"/>
      <c r="C404" s="153"/>
      <c r="D404" s="153"/>
      <c r="E404" s="153"/>
      <c r="F404" s="153"/>
      <c r="G404" s="153"/>
      <c r="H404" s="153"/>
      <c r="I404" s="153"/>
      <c r="J404" s="153"/>
      <c r="K404" s="153"/>
      <c r="L404" s="153"/>
      <c r="M404" s="153"/>
    </row>
    <row r="405" spans="1:21">
      <c r="A405" s="136">
        <f ca="1">IFERROR(INDIRECT("fixtures!" &amp; Dashboard!J1 &amp;302) - Dashboard!K1/24,"TBC")</f>
        <v>46102.625</v>
      </c>
      <c r="B405" s="66" t="s">
        <v>2</v>
      </c>
      <c r="C405" s="6"/>
      <c r="D405" s="66" t="str">
        <f>IF(ISBLANK(fixtures!$K302),"",fixtures!$K302)</f>
        <v/>
      </c>
      <c r="E405" s="67" t="str">
        <f>IF(ISBLANK(fixtures!$L302),"",":")</f>
        <v/>
      </c>
      <c r="F405" s="68" t="str">
        <f>IF(ISBLANK(fixtures!$L302),"",fixtures!$L302)</f>
        <v/>
      </c>
      <c r="G405" s="6"/>
      <c r="H405" s="68" t="s">
        <v>14</v>
      </c>
      <c r="I405" s="68" t="s">
        <v>49</v>
      </c>
      <c r="J405" s="6"/>
      <c r="K405" s="6"/>
      <c r="L405" s="6"/>
      <c r="M405" s="6"/>
      <c r="N405" s="319"/>
      <c r="O405" s="319"/>
      <c r="P405" s="319"/>
      <c r="Q405" s="319"/>
      <c r="R405" s="319"/>
      <c r="S405" s="319"/>
      <c r="T405" s="319"/>
      <c r="U405" s="319"/>
    </row>
    <row r="406" spans="1:21">
      <c r="A406" s="136">
        <f ca="1">IFERROR(INDIRECT("fixtures!" &amp; Dashboard!J1 &amp;303) - Dashboard!K1/24,"TBC")</f>
        <v>46102.625</v>
      </c>
      <c r="B406" s="66" t="s">
        <v>3</v>
      </c>
      <c r="C406" s="6"/>
      <c r="D406" s="66" t="str">
        <f>IF(ISBLANK(fixtures!$K303),"",fixtures!$K303)</f>
        <v/>
      </c>
      <c r="E406" s="67" t="str">
        <f>IF(ISBLANK(fixtures!$L303),"",":")</f>
        <v/>
      </c>
      <c r="F406" s="68" t="str">
        <f>IF(ISBLANK(fixtures!$L303),"",fixtures!$L303)</f>
        <v/>
      </c>
      <c r="G406" s="6"/>
      <c r="H406" s="68" t="s">
        <v>11</v>
      </c>
      <c r="I406" s="68" t="s">
        <v>43</v>
      </c>
      <c r="J406" s="6"/>
      <c r="K406" s="6"/>
      <c r="L406" s="6"/>
      <c r="M406" s="6"/>
    </row>
    <row r="407" spans="1:21">
      <c r="A407" s="136">
        <f ca="1">IFERROR(INDIRECT("fixtures!" &amp; Dashboard!J1 &amp;304) - Dashboard!K1/24,"TBC")</f>
        <v>46102.625</v>
      </c>
      <c r="B407" s="66" t="s">
        <v>4</v>
      </c>
      <c r="C407" s="6"/>
      <c r="D407" s="66" t="str">
        <f>IF(ISBLANK(fixtures!$K304),"",fixtures!$K304)</f>
        <v/>
      </c>
      <c r="E407" s="67" t="str">
        <f>IF(ISBLANK(fixtures!$L304),"",":")</f>
        <v/>
      </c>
      <c r="F407" s="68" t="str">
        <f>IF(ISBLANK(fixtures!$L304),"",fixtures!$L304)</f>
        <v/>
      </c>
      <c r="G407" s="6"/>
      <c r="H407" s="68" t="s">
        <v>9</v>
      </c>
      <c r="I407" s="68" t="s">
        <v>217</v>
      </c>
      <c r="J407" s="6"/>
      <c r="K407" s="6"/>
      <c r="L407" s="6"/>
      <c r="M407" s="6"/>
    </row>
    <row r="408" spans="1:21">
      <c r="A408" s="136">
        <f ca="1">IFERROR(INDIRECT("fixtures!" &amp; Dashboard!J1 &amp;305) - Dashboard!K1/24,"TBC")</f>
        <v>46102.625</v>
      </c>
      <c r="B408" s="66" t="s">
        <v>8</v>
      </c>
      <c r="C408" s="6"/>
      <c r="D408" s="66" t="str">
        <f>IF(ISBLANK(fixtures!$K305),"",fixtures!$K305)</f>
        <v/>
      </c>
      <c r="E408" s="67" t="str">
        <f>IF(ISBLANK(fixtures!$L305),"",":")</f>
        <v/>
      </c>
      <c r="F408" s="68" t="str">
        <f>IF(ISBLANK(fixtures!$L305),"",fixtures!$L305)</f>
        <v/>
      </c>
      <c r="G408" s="6"/>
      <c r="H408" s="68" t="s">
        <v>6</v>
      </c>
      <c r="I408" s="68" t="s">
        <v>452</v>
      </c>
      <c r="J408" s="6"/>
      <c r="K408" s="6"/>
      <c r="L408" s="6"/>
      <c r="M408" s="6"/>
    </row>
    <row r="409" spans="1:21">
      <c r="A409" s="136">
        <f ca="1">IFERROR(INDIRECT("fixtures!" &amp; Dashboard!J1 &amp;306) - Dashboard!K1/24,"TBC")</f>
        <v>46102.625</v>
      </c>
      <c r="B409" s="66" t="s">
        <v>108</v>
      </c>
      <c r="C409" s="6"/>
      <c r="D409" s="66" t="str">
        <f>IF(ISBLANK(fixtures!$K306),"",fixtures!$K306)</f>
        <v/>
      </c>
      <c r="E409" s="67" t="str">
        <f>IF(ISBLANK(fixtures!$L306),"",":")</f>
        <v/>
      </c>
      <c r="F409" s="68" t="str">
        <f>IF(ISBLANK(fixtures!$L306),"",fixtures!$L306)</f>
        <v/>
      </c>
      <c r="G409" s="6"/>
      <c r="H409" s="68" t="s">
        <v>5</v>
      </c>
      <c r="I409" s="68" t="s">
        <v>157</v>
      </c>
      <c r="J409" s="6"/>
      <c r="K409" s="6"/>
      <c r="L409" s="6"/>
      <c r="M409" s="6"/>
    </row>
    <row r="410" spans="1:21">
      <c r="A410" s="136">
        <f ca="1">IFERROR(INDIRECT("fixtures!" &amp; Dashboard!J1 &amp;307) - Dashboard!K1/24,"TBC")</f>
        <v>46102.625</v>
      </c>
      <c r="B410" s="66" t="s">
        <v>444</v>
      </c>
      <c r="C410" s="6"/>
      <c r="D410" s="66" t="str">
        <f>IF(ISBLANK(fixtures!$K307),"",fixtures!$K307)</f>
        <v/>
      </c>
      <c r="E410" s="67" t="str">
        <f>IF(ISBLANK(fixtures!$L307),"",":")</f>
        <v/>
      </c>
      <c r="F410" s="68" t="str">
        <f>IF(ISBLANK(fixtures!$L307),"",fixtures!$L307)</f>
        <v/>
      </c>
      <c r="G410" s="6"/>
      <c r="H410" s="68" t="s">
        <v>107</v>
      </c>
      <c r="I410" s="68" t="s">
        <v>449</v>
      </c>
      <c r="J410" s="6"/>
      <c r="K410" s="6"/>
      <c r="L410" s="6"/>
      <c r="M410" s="6"/>
    </row>
    <row r="411" spans="1:21">
      <c r="A411" s="136">
        <f ca="1">IFERROR(INDIRECT("fixtures!" &amp; Dashboard!J1 &amp;308) - Dashboard!K1/24,"TBC")</f>
        <v>46102.625</v>
      </c>
      <c r="B411" s="66" t="s">
        <v>10</v>
      </c>
      <c r="C411" s="6"/>
      <c r="D411" s="66" t="str">
        <f>IF(ISBLANK(fixtures!$K308),"",fixtures!$K308)</f>
        <v/>
      </c>
      <c r="E411" s="67" t="str">
        <f>IF(ISBLANK(fixtures!$L308),"",":")</f>
        <v/>
      </c>
      <c r="F411" s="68" t="str">
        <f>IF(ISBLANK(fixtures!$L308),"",fixtures!$L308)</f>
        <v/>
      </c>
      <c r="G411" s="6"/>
      <c r="H411" s="68" t="s">
        <v>7</v>
      </c>
      <c r="I411" s="68" t="s">
        <v>50</v>
      </c>
      <c r="J411" s="6"/>
      <c r="K411" s="6"/>
      <c r="L411" s="6"/>
      <c r="M411" s="6"/>
    </row>
    <row r="412" spans="1:21">
      <c r="A412" s="136">
        <f ca="1">IFERROR(INDIRECT("fixtures!" &amp; Dashboard!J1 &amp;309) - Dashboard!K1/24,"TBC")</f>
        <v>46102.625</v>
      </c>
      <c r="B412" s="66" t="s">
        <v>12</v>
      </c>
      <c r="C412" s="6"/>
      <c r="D412" s="66" t="str">
        <f>IF(ISBLANK(fixtures!$K309),"",fixtures!$K309)</f>
        <v/>
      </c>
      <c r="E412" s="67" t="str">
        <f>IF(ISBLANK(fixtures!$L309),"",":")</f>
        <v/>
      </c>
      <c r="F412" s="68" t="str">
        <f>IF(ISBLANK(fixtures!$L309),"",fixtures!$L309)</f>
        <v/>
      </c>
      <c r="G412" s="6"/>
      <c r="H412" s="68" t="s">
        <v>443</v>
      </c>
      <c r="I412" s="68" t="s">
        <v>46</v>
      </c>
      <c r="J412" s="6"/>
      <c r="K412" s="6"/>
      <c r="L412" s="6"/>
      <c r="M412" s="6"/>
    </row>
    <row r="413" spans="1:21">
      <c r="A413" s="136">
        <f ca="1">IFERROR(INDIRECT("fixtures!" &amp; Dashboard!J1 &amp;310) - Dashboard!K1/24,"TBC")</f>
        <v>46102.625</v>
      </c>
      <c r="B413" s="66" t="s">
        <v>13</v>
      </c>
      <c r="C413" s="6"/>
      <c r="D413" s="66" t="str">
        <f>IF(ISBLANK(fixtures!$K310),"",fixtures!$K310)</f>
        <v/>
      </c>
      <c r="E413" s="67" t="str">
        <f>IF(ISBLANK(fixtures!$L310),"",":")</f>
        <v/>
      </c>
      <c r="F413" s="68" t="str">
        <f>IF(ISBLANK(fixtures!$L310),"",fixtures!$L310)</f>
        <v/>
      </c>
      <c r="G413" s="6"/>
      <c r="H413" s="68" t="s">
        <v>188</v>
      </c>
      <c r="I413" s="68" t="s">
        <v>45</v>
      </c>
      <c r="J413" s="6"/>
      <c r="K413" s="6"/>
      <c r="L413" s="6"/>
      <c r="M413" s="6"/>
    </row>
    <row r="414" spans="1:21">
      <c r="A414" s="136">
        <f ca="1">IFERROR(INDIRECT("fixtures!" &amp; Dashboard!J1 &amp;311) - Dashboard!K1/24,"TBC")</f>
        <v>46102.625</v>
      </c>
      <c r="B414" s="66" t="s">
        <v>15</v>
      </c>
      <c r="C414" s="6"/>
      <c r="D414" s="66" t="str">
        <f>IF(ISBLANK(fixtures!$K311),"",fixtures!$K311)</f>
        <v/>
      </c>
      <c r="E414" s="67" t="str">
        <f>IF(ISBLANK(fixtures!$L311),"",":")</f>
        <v/>
      </c>
      <c r="F414" s="68" t="str">
        <f>IF(ISBLANK(fixtures!$L311),"",fixtures!$L311)</f>
        <v/>
      </c>
      <c r="G414" s="6"/>
      <c r="H414" s="68" t="s">
        <v>1</v>
      </c>
      <c r="I414" s="68" t="s">
        <v>52</v>
      </c>
      <c r="J414" s="6"/>
      <c r="K414" s="6"/>
      <c r="L414" s="6"/>
      <c r="M414" s="6"/>
    </row>
    <row r="415" spans="1:21">
      <c r="A415" s="69" t="str">
        <f>Dashboard!D1 &amp; " Time"</f>
        <v>London Time</v>
      </c>
      <c r="B415" s="6"/>
      <c r="C415" s="6"/>
      <c r="D415" s="6"/>
      <c r="E415" s="6"/>
      <c r="F415" s="6"/>
      <c r="G415" s="6"/>
      <c r="H415" s="6"/>
      <c r="I415" s="292" t="s">
        <v>442</v>
      </c>
      <c r="J415" s="6"/>
      <c r="K415" s="6"/>
      <c r="L415" s="6"/>
      <c r="M415" s="6"/>
    </row>
    <row r="416" spans="1:21" ht="31.5">
      <c r="A416" s="8"/>
      <c r="B416" s="8"/>
      <c r="C416" s="8"/>
      <c r="D416" s="8"/>
      <c r="E416" s="8"/>
      <c r="F416" s="8"/>
      <c r="G416" s="8"/>
      <c r="H416" s="70" t="s">
        <v>83</v>
      </c>
      <c r="I416" s="8"/>
      <c r="J416" s="8"/>
      <c r="K416" s="8"/>
      <c r="L416" s="8"/>
      <c r="M416" s="8"/>
    </row>
    <row r="417" spans="1:21">
      <c r="A417" s="154" t="s">
        <v>593</v>
      </c>
      <c r="B417" s="155"/>
      <c r="C417" s="155"/>
      <c r="D417" s="155"/>
      <c r="E417" s="155"/>
      <c r="F417" s="155"/>
      <c r="G417" s="155"/>
      <c r="H417" s="155"/>
      <c r="I417" s="155"/>
      <c r="J417" s="155"/>
      <c r="K417" s="155"/>
      <c r="L417" s="155"/>
      <c r="M417" s="155"/>
    </row>
    <row r="418" spans="1:21">
      <c r="A418" s="137">
        <f ca="1">IFERROR(INDIRECT("fixtures!" &amp; Dashboard!J1 &amp;312) - Dashboard!K1/24,"TBC")</f>
        <v>46123.625</v>
      </c>
      <c r="B418" s="71" t="s">
        <v>1</v>
      </c>
      <c r="C418" s="9"/>
      <c r="D418" s="71" t="str">
        <f>IF(ISBLANK(fixtures!$K312),"",fixtures!$K312)</f>
        <v/>
      </c>
      <c r="E418" s="72" t="str">
        <f>IF(ISBLANK(fixtures!$L312),"",":")</f>
        <v/>
      </c>
      <c r="F418" s="73" t="str">
        <f>IF(ISBLANK(fixtures!$L312),"",fixtures!$L312)</f>
        <v/>
      </c>
      <c r="G418" s="9"/>
      <c r="H418" s="73" t="s">
        <v>3</v>
      </c>
      <c r="I418" s="73" t="s">
        <v>48</v>
      </c>
      <c r="J418" s="9"/>
      <c r="K418" s="9"/>
      <c r="L418" s="9"/>
      <c r="M418" s="9"/>
      <c r="N418" s="319"/>
      <c r="O418" s="319"/>
      <c r="P418" s="319"/>
      <c r="Q418" s="319"/>
      <c r="R418" s="319"/>
      <c r="S418" s="319"/>
      <c r="T418" s="319"/>
      <c r="U418" s="319"/>
    </row>
    <row r="419" spans="1:21">
      <c r="A419" s="137">
        <f ca="1">IFERROR(INDIRECT("fixtures!" &amp; Dashboard!J1 &amp;313) - Dashboard!K1/24,"TBC")</f>
        <v>46123.625</v>
      </c>
      <c r="B419" s="71" t="s">
        <v>107</v>
      </c>
      <c r="C419" s="9"/>
      <c r="D419" s="71" t="str">
        <f>IF(ISBLANK(fixtures!$K313),"",fixtures!$K313)</f>
        <v/>
      </c>
      <c r="E419" s="72" t="str">
        <f>IF(ISBLANK(fixtures!$L313),"",":")</f>
        <v/>
      </c>
      <c r="F419" s="73" t="str">
        <f>IF(ISBLANK(fixtures!$L313),"",fixtures!$L313)</f>
        <v/>
      </c>
      <c r="G419" s="9"/>
      <c r="H419" s="73" t="s">
        <v>8</v>
      </c>
      <c r="I419" s="73" t="s">
        <v>172</v>
      </c>
      <c r="J419" s="9"/>
      <c r="K419" s="9"/>
      <c r="L419" s="9"/>
      <c r="M419" s="9"/>
    </row>
    <row r="420" spans="1:21">
      <c r="A420" s="137">
        <f ca="1">IFERROR(INDIRECT("fixtures!" &amp; Dashboard!J1 &amp;314) - Dashboard!K1/24,"TBC")</f>
        <v>46123.625</v>
      </c>
      <c r="B420" s="71" t="s">
        <v>5</v>
      </c>
      <c r="C420" s="9"/>
      <c r="D420" s="71" t="str">
        <f>IF(ISBLANK(fixtures!$K314),"",fixtures!$K314)</f>
        <v/>
      </c>
      <c r="E420" s="72" t="str">
        <f>IF(ISBLANK(fixtures!$L314),"",":")</f>
        <v/>
      </c>
      <c r="F420" s="73" t="str">
        <f>IF(ISBLANK(fixtures!$L314),"",fixtures!$L314)</f>
        <v/>
      </c>
      <c r="G420" s="9"/>
      <c r="H420" s="73" t="s">
        <v>4</v>
      </c>
      <c r="I420" s="73" t="s">
        <v>451</v>
      </c>
      <c r="J420" s="9"/>
      <c r="K420" s="9"/>
      <c r="L420" s="9"/>
      <c r="M420" s="9"/>
    </row>
    <row r="421" spans="1:21">
      <c r="A421" s="137">
        <f ca="1">IFERROR(INDIRECT("fixtures!" &amp; Dashboard!J1 &amp;315) - Dashboard!K1/24,"TBC")</f>
        <v>46123.625</v>
      </c>
      <c r="B421" s="71" t="s">
        <v>6</v>
      </c>
      <c r="C421" s="9"/>
      <c r="D421" s="71" t="str">
        <f>IF(ISBLANK(fixtures!$K315),"",fixtures!$K315)</f>
        <v/>
      </c>
      <c r="E421" s="72" t="str">
        <f>IF(ISBLANK(fixtures!$L315),"",":")</f>
        <v/>
      </c>
      <c r="F421" s="73" t="str">
        <f>IF(ISBLANK(fixtures!$L315),"",fixtures!$L315)</f>
        <v/>
      </c>
      <c r="G421" s="9"/>
      <c r="H421" s="73" t="s">
        <v>10</v>
      </c>
      <c r="I421" s="73" t="s">
        <v>51</v>
      </c>
      <c r="J421" s="9"/>
      <c r="K421" s="9"/>
      <c r="L421" s="9"/>
      <c r="M421" s="9"/>
    </row>
    <row r="422" spans="1:21">
      <c r="A422" s="137">
        <f ca="1">IFERROR(INDIRECT("fixtures!" &amp; Dashboard!J1 &amp;316) - Dashboard!K1/24,"TBC")</f>
        <v>46123.625</v>
      </c>
      <c r="B422" s="71" t="s">
        <v>7</v>
      </c>
      <c r="C422" s="9"/>
      <c r="D422" s="71" t="str">
        <f>IF(ISBLANK(fixtures!$K316),"",fixtures!$K316)</f>
        <v/>
      </c>
      <c r="E422" s="72" t="str">
        <f>IF(ISBLANK(fixtures!$L316),"",":")</f>
        <v/>
      </c>
      <c r="F422" s="73" t="str">
        <f>IF(ISBLANK(fixtures!$L316),"",fixtures!$L316)</f>
        <v/>
      </c>
      <c r="G422" s="9"/>
      <c r="H422" s="73" t="s">
        <v>12</v>
      </c>
      <c r="I422" s="73" t="s">
        <v>44</v>
      </c>
      <c r="J422" s="9"/>
      <c r="K422" s="9"/>
      <c r="L422" s="9"/>
      <c r="M422" s="9"/>
    </row>
    <row r="423" spans="1:21">
      <c r="A423" s="137">
        <f ca="1">IFERROR(INDIRECT("fixtures!" &amp; Dashboard!J1 &amp;317) - Dashboard!K1/24,"TBC")</f>
        <v>46123.625</v>
      </c>
      <c r="B423" s="71" t="s">
        <v>9</v>
      </c>
      <c r="C423" s="9"/>
      <c r="D423" s="71" t="str">
        <f>IF(ISBLANK(fixtures!$K317),"",fixtures!$K317)</f>
        <v/>
      </c>
      <c r="E423" s="72" t="str">
        <f>IF(ISBLANK(fixtures!$L317),"",":")</f>
        <v/>
      </c>
      <c r="F423" s="73" t="str">
        <f>IF(ISBLANK(fixtures!$L317),"",fixtures!$L317)</f>
        <v/>
      </c>
      <c r="G423" s="9"/>
      <c r="H423" s="73" t="s">
        <v>108</v>
      </c>
      <c r="I423" s="73" t="s">
        <v>40</v>
      </c>
      <c r="J423" s="9"/>
      <c r="K423" s="9"/>
      <c r="L423" s="9"/>
      <c r="M423" s="9"/>
    </row>
    <row r="424" spans="1:21">
      <c r="A424" s="137">
        <f ca="1">IFERROR(INDIRECT("fixtures!" &amp; Dashboard!J1 &amp;318) - Dashboard!K1/24,"TBC")</f>
        <v>46123.625</v>
      </c>
      <c r="B424" s="71" t="s">
        <v>11</v>
      </c>
      <c r="C424" s="9"/>
      <c r="D424" s="71" t="str">
        <f>IF(ISBLANK(fixtures!$K318),"",fixtures!$K318)</f>
        <v/>
      </c>
      <c r="E424" s="72" t="str">
        <f>IF(ISBLANK(fixtures!$L318),"",":")</f>
        <v/>
      </c>
      <c r="F424" s="73" t="str">
        <f>IF(ISBLANK(fixtures!$L318),"",fixtures!$L318)</f>
        <v/>
      </c>
      <c r="G424" s="9"/>
      <c r="H424" s="73" t="s">
        <v>444</v>
      </c>
      <c r="I424" s="73" t="s">
        <v>47</v>
      </c>
      <c r="J424" s="9"/>
      <c r="K424" s="9"/>
      <c r="L424" s="9"/>
      <c r="M424" s="9"/>
    </row>
    <row r="425" spans="1:21">
      <c r="A425" s="137">
        <f ca="1">IFERROR(INDIRECT("fixtures!" &amp; Dashboard!J1 &amp;319) - Dashboard!K1/24,"TBC")</f>
        <v>46123.625</v>
      </c>
      <c r="B425" s="71" t="s">
        <v>188</v>
      </c>
      <c r="C425" s="9"/>
      <c r="D425" s="71" t="str">
        <f>IF(ISBLANK(fixtures!$K319),"",fixtures!$K319)</f>
        <v/>
      </c>
      <c r="E425" s="72" t="str">
        <f>IF(ISBLANK(fixtures!$L319),"",":")</f>
        <v/>
      </c>
      <c r="F425" s="73" t="str">
        <f>IF(ISBLANK(fixtures!$L319),"",fixtures!$L319)</f>
        <v/>
      </c>
      <c r="G425" s="9"/>
      <c r="H425" s="73" t="s">
        <v>2</v>
      </c>
      <c r="I425" s="73" t="s">
        <v>158</v>
      </c>
      <c r="J425" s="9"/>
      <c r="K425" s="9"/>
      <c r="L425" s="9"/>
      <c r="M425" s="9"/>
    </row>
    <row r="426" spans="1:21">
      <c r="A426" s="137">
        <f ca="1">IFERROR(INDIRECT("fixtures!" &amp; Dashboard!J1 &amp;320) - Dashboard!K1/24,"TBC")</f>
        <v>46123.625</v>
      </c>
      <c r="B426" s="71" t="s">
        <v>443</v>
      </c>
      <c r="C426" s="9"/>
      <c r="D426" s="71" t="str">
        <f>IF(ISBLANK(fixtures!$K320),"",fixtures!$K320)</f>
        <v/>
      </c>
      <c r="E426" s="72" t="str">
        <f>IF(ISBLANK(fixtures!$L320),"",":")</f>
        <v/>
      </c>
      <c r="F426" s="73" t="str">
        <f>IF(ISBLANK(fixtures!$L320),"",fixtures!$L320)</f>
        <v/>
      </c>
      <c r="G426" s="9"/>
      <c r="H426" s="73" t="s">
        <v>13</v>
      </c>
      <c r="I426" s="73" t="s">
        <v>448</v>
      </c>
      <c r="J426" s="9"/>
      <c r="K426" s="9"/>
      <c r="L426" s="9"/>
      <c r="M426" s="9"/>
    </row>
    <row r="427" spans="1:21">
      <c r="A427" s="137">
        <f ca="1">IFERROR(INDIRECT("fixtures!" &amp; Dashboard!J1 &amp;321) - Dashboard!K1/24,"TBC")</f>
        <v>46123.625</v>
      </c>
      <c r="B427" s="71" t="s">
        <v>14</v>
      </c>
      <c r="C427" s="9"/>
      <c r="D427" s="71" t="str">
        <f>IF(ISBLANK(fixtures!$K321),"",fixtures!$K321)</f>
        <v/>
      </c>
      <c r="E427" s="72" t="str">
        <f>IF(ISBLANK(fixtures!$L321),"",":")</f>
        <v/>
      </c>
      <c r="F427" s="73" t="str">
        <f>IF(ISBLANK(fixtures!$L321),"",fixtures!$L321)</f>
        <v/>
      </c>
      <c r="G427" s="9"/>
      <c r="H427" s="73" t="s">
        <v>15</v>
      </c>
      <c r="I427" s="73" t="s">
        <v>42</v>
      </c>
      <c r="J427" s="9"/>
      <c r="K427" s="9"/>
      <c r="L427" s="9"/>
      <c r="M427" s="9"/>
    </row>
    <row r="428" spans="1:21">
      <c r="A428" s="74" t="str">
        <f>Dashboard!D1 &amp; " Time"</f>
        <v>London Time</v>
      </c>
      <c r="B428" s="9"/>
      <c r="C428" s="9"/>
      <c r="D428" s="9"/>
      <c r="E428" s="9"/>
      <c r="F428" s="9"/>
      <c r="G428" s="9"/>
      <c r="H428" s="9"/>
      <c r="I428" s="293" t="s">
        <v>442</v>
      </c>
      <c r="J428" s="9"/>
      <c r="K428" s="9"/>
      <c r="L428" s="9"/>
      <c r="M428" s="9"/>
    </row>
    <row r="429" spans="1:21" ht="31.5">
      <c r="A429" s="10"/>
      <c r="B429" s="10"/>
      <c r="C429" s="10"/>
      <c r="D429" s="10"/>
      <c r="E429" s="10"/>
      <c r="F429" s="10"/>
      <c r="G429" s="10"/>
      <c r="H429" s="75" t="s">
        <v>84</v>
      </c>
      <c r="I429" s="10"/>
      <c r="J429" s="10"/>
      <c r="K429" s="10"/>
      <c r="L429" s="10"/>
      <c r="M429" s="10"/>
    </row>
    <row r="430" spans="1:21">
      <c r="A430" s="156" t="s">
        <v>594</v>
      </c>
      <c r="B430" s="157"/>
      <c r="C430" s="157"/>
      <c r="D430" s="157"/>
      <c r="E430" s="157"/>
      <c r="F430" s="157"/>
      <c r="G430" s="157"/>
      <c r="H430" s="157"/>
      <c r="I430" s="157"/>
      <c r="J430" s="157"/>
      <c r="K430" s="157"/>
      <c r="L430" s="157"/>
      <c r="M430" s="157"/>
    </row>
    <row r="431" spans="1:21">
      <c r="A431" s="138">
        <f ca="1">IFERROR(INDIRECT("fixtures!" &amp; Dashboard!J1 &amp;322) - Dashboard!K1/24,"TBC")</f>
        <v>46130.625</v>
      </c>
      <c r="B431" s="76" t="s">
        <v>2</v>
      </c>
      <c r="C431" s="11"/>
      <c r="D431" s="76" t="str">
        <f>IF(ISBLANK(fixtures!$K322),"",fixtures!$K322)</f>
        <v/>
      </c>
      <c r="E431" s="77" t="str">
        <f>IF(ISBLANK(fixtures!$L322),"",":")</f>
        <v/>
      </c>
      <c r="F431" s="78" t="str">
        <f>IF(ISBLANK(fixtures!$L322),"",fixtures!$L322)</f>
        <v/>
      </c>
      <c r="G431" s="11"/>
      <c r="H431" s="78" t="s">
        <v>443</v>
      </c>
      <c r="I431" s="78" t="s">
        <v>49</v>
      </c>
      <c r="J431" s="11"/>
      <c r="K431" s="11"/>
      <c r="L431" s="11"/>
      <c r="M431" s="11"/>
      <c r="N431" s="319"/>
      <c r="O431" s="319"/>
      <c r="P431" s="319"/>
      <c r="Q431" s="319"/>
      <c r="R431" s="319"/>
      <c r="S431" s="319"/>
      <c r="T431" s="319"/>
      <c r="U431" s="319"/>
    </row>
    <row r="432" spans="1:21">
      <c r="A432" s="138">
        <f ca="1">IFERROR(INDIRECT("fixtures!" &amp; Dashboard!J1 &amp;323) - Dashboard!K1/24,"TBC")</f>
        <v>46130.625</v>
      </c>
      <c r="B432" s="76" t="s">
        <v>107</v>
      </c>
      <c r="C432" s="11"/>
      <c r="D432" s="76" t="str">
        <f>IF(ISBLANK(fixtures!$K323),"",fixtures!$K323)</f>
        <v/>
      </c>
      <c r="E432" s="77" t="str">
        <f>IF(ISBLANK(fixtures!$L323),"",":")</f>
        <v/>
      </c>
      <c r="F432" s="78" t="str">
        <f>IF(ISBLANK(fixtures!$L323),"",fixtures!$L323)</f>
        <v/>
      </c>
      <c r="G432" s="11"/>
      <c r="H432" s="78" t="s">
        <v>108</v>
      </c>
      <c r="I432" s="78" t="s">
        <v>172</v>
      </c>
      <c r="J432" s="11"/>
      <c r="K432" s="11"/>
      <c r="L432" s="11"/>
      <c r="M432" s="11"/>
    </row>
    <row r="433" spans="1:21">
      <c r="A433" s="138">
        <f ca="1">IFERROR(INDIRECT("fixtures!" &amp; Dashboard!J1 &amp;324) - Dashboard!K1/24,"TBC")</f>
        <v>46130.625</v>
      </c>
      <c r="B433" s="76" t="s">
        <v>6</v>
      </c>
      <c r="C433" s="11"/>
      <c r="D433" s="76" t="str">
        <f>IF(ISBLANK(fixtures!$K324),"",fixtures!$K324)</f>
        <v/>
      </c>
      <c r="E433" s="77" t="str">
        <f>IF(ISBLANK(fixtures!$L324),"",":")</f>
        <v/>
      </c>
      <c r="F433" s="78" t="str">
        <f>IF(ISBLANK(fixtures!$L324),"",fixtures!$L324)</f>
        <v/>
      </c>
      <c r="G433" s="11"/>
      <c r="H433" s="78" t="s">
        <v>11</v>
      </c>
      <c r="I433" s="78" t="s">
        <v>51</v>
      </c>
      <c r="J433" s="11"/>
      <c r="K433" s="11"/>
      <c r="L433" s="11"/>
      <c r="M433" s="11"/>
    </row>
    <row r="434" spans="1:21">
      <c r="A434" s="138">
        <f ca="1">IFERROR(INDIRECT("fixtures!" &amp; Dashboard!J1 &amp;325) - Dashboard!K1/24,"TBC")</f>
        <v>46130.625</v>
      </c>
      <c r="B434" s="76" t="s">
        <v>7</v>
      </c>
      <c r="C434" s="11"/>
      <c r="D434" s="76" t="str">
        <f>IF(ISBLANK(fixtures!$K325),"",fixtures!$K325)</f>
        <v/>
      </c>
      <c r="E434" s="77" t="str">
        <f>IF(ISBLANK(fixtures!$L325),"",":")</f>
        <v/>
      </c>
      <c r="F434" s="78" t="str">
        <f>IF(ISBLANK(fixtures!$L325),"",fixtures!$L325)</f>
        <v/>
      </c>
      <c r="G434" s="11"/>
      <c r="H434" s="78" t="s">
        <v>14</v>
      </c>
      <c r="I434" s="78" t="s">
        <v>44</v>
      </c>
      <c r="J434" s="11"/>
      <c r="K434" s="11"/>
      <c r="L434" s="11"/>
      <c r="M434" s="11"/>
    </row>
    <row r="435" spans="1:21">
      <c r="A435" s="138">
        <f ca="1">IFERROR(INDIRECT("fixtures!" &amp; Dashboard!J1 &amp;326) - Dashboard!K1/24,"TBC")</f>
        <v>46130.625</v>
      </c>
      <c r="B435" s="76" t="s">
        <v>8</v>
      </c>
      <c r="C435" s="11"/>
      <c r="D435" s="76" t="str">
        <f>IF(ISBLANK(fixtures!$K326),"",fixtures!$K326)</f>
        <v/>
      </c>
      <c r="E435" s="77" t="str">
        <f>IF(ISBLANK(fixtures!$L326),"",":")</f>
        <v/>
      </c>
      <c r="F435" s="78" t="str">
        <f>IF(ISBLANK(fixtures!$L326),"",fixtures!$L326)</f>
        <v/>
      </c>
      <c r="G435" s="11"/>
      <c r="H435" s="78" t="s">
        <v>9</v>
      </c>
      <c r="I435" s="78" t="s">
        <v>452</v>
      </c>
      <c r="J435" s="11"/>
      <c r="K435" s="11"/>
      <c r="L435" s="11"/>
      <c r="M435" s="11"/>
    </row>
    <row r="436" spans="1:21">
      <c r="A436" s="138">
        <f ca="1">IFERROR(INDIRECT("fixtures!" &amp; Dashboard!J1 &amp;327) - Dashboard!K1/24,"TBC")</f>
        <v>46130.625</v>
      </c>
      <c r="B436" s="76" t="s">
        <v>444</v>
      </c>
      <c r="C436" s="11"/>
      <c r="D436" s="76" t="str">
        <f>IF(ISBLANK(fixtures!$K327),"",fixtures!$K327)</f>
        <v/>
      </c>
      <c r="E436" s="77" t="str">
        <f>IF(ISBLANK(fixtures!$L327),"",":")</f>
        <v/>
      </c>
      <c r="F436" s="78" t="str">
        <f>IF(ISBLANK(fixtures!$L327),"",fixtures!$L327)</f>
        <v/>
      </c>
      <c r="G436" s="11"/>
      <c r="H436" s="78" t="s">
        <v>15</v>
      </c>
      <c r="I436" s="78" t="s">
        <v>449</v>
      </c>
      <c r="J436" s="11"/>
      <c r="K436" s="11"/>
      <c r="L436" s="11"/>
      <c r="M436" s="11"/>
    </row>
    <row r="437" spans="1:21">
      <c r="A437" s="138">
        <f ca="1">IFERROR(INDIRECT("fixtures!" &amp; Dashboard!J1 &amp;328) - Dashboard!K1/24,"TBC")</f>
        <v>46130.625</v>
      </c>
      <c r="B437" s="76" t="s">
        <v>10</v>
      </c>
      <c r="C437" s="11"/>
      <c r="D437" s="76" t="str">
        <f>IF(ISBLANK(fixtures!$K328),"",fixtures!$K328)</f>
        <v/>
      </c>
      <c r="E437" s="77" t="str">
        <f>IF(ISBLANK(fixtures!$L328),"",":")</f>
        <v/>
      </c>
      <c r="F437" s="78" t="str">
        <f>IF(ISBLANK(fixtures!$L328),"",fixtures!$L328)</f>
        <v/>
      </c>
      <c r="G437" s="11"/>
      <c r="H437" s="78" t="s">
        <v>1</v>
      </c>
      <c r="I437" s="78" t="s">
        <v>50</v>
      </c>
      <c r="J437" s="11"/>
      <c r="K437" s="11"/>
      <c r="L437" s="11"/>
      <c r="M437" s="11"/>
    </row>
    <row r="438" spans="1:21">
      <c r="A438" s="138">
        <f ca="1">IFERROR(INDIRECT("fixtures!" &amp; Dashboard!J1 &amp;329) - Dashboard!K1/24,"TBC")</f>
        <v>46130.625</v>
      </c>
      <c r="B438" s="76" t="s">
        <v>12</v>
      </c>
      <c r="C438" s="11"/>
      <c r="D438" s="76" t="str">
        <f>IF(ISBLANK(fixtures!$K329),"",fixtures!$K329)</f>
        <v/>
      </c>
      <c r="E438" s="77" t="str">
        <f>IF(ISBLANK(fixtures!$L329),"",":")</f>
        <v/>
      </c>
      <c r="F438" s="78" t="str">
        <f>IF(ISBLANK(fixtures!$L329),"",fixtures!$L329)</f>
        <v/>
      </c>
      <c r="G438" s="11"/>
      <c r="H438" s="78" t="s">
        <v>3</v>
      </c>
      <c r="I438" s="78" t="s">
        <v>46</v>
      </c>
      <c r="J438" s="11"/>
      <c r="K438" s="11"/>
      <c r="L438" s="11"/>
      <c r="M438" s="11"/>
    </row>
    <row r="439" spans="1:21">
      <c r="A439" s="138">
        <f ca="1">IFERROR(INDIRECT("fixtures!" &amp; Dashboard!J1 &amp;330) - Dashboard!K1/24,"TBC")</f>
        <v>46130.625</v>
      </c>
      <c r="B439" s="76" t="s">
        <v>188</v>
      </c>
      <c r="C439" s="11"/>
      <c r="D439" s="76" t="str">
        <f>IF(ISBLANK(fixtures!$K330),"",fixtures!$K330)</f>
        <v/>
      </c>
      <c r="E439" s="77" t="str">
        <f>IF(ISBLANK(fixtures!$L330),"",":")</f>
        <v/>
      </c>
      <c r="F439" s="78" t="str">
        <f>IF(ISBLANK(fixtures!$L330),"",fixtures!$L330)</f>
        <v/>
      </c>
      <c r="G439" s="11"/>
      <c r="H439" s="78" t="s">
        <v>5</v>
      </c>
      <c r="I439" s="78" t="s">
        <v>158</v>
      </c>
      <c r="J439" s="11"/>
      <c r="K439" s="11"/>
      <c r="L439" s="11"/>
      <c r="M439" s="11"/>
    </row>
    <row r="440" spans="1:21">
      <c r="A440" s="138">
        <f ca="1">IFERROR(INDIRECT("fixtures!" &amp; Dashboard!J1 &amp;331) - Dashboard!K1/24,"TBC")</f>
        <v>46130.625</v>
      </c>
      <c r="B440" s="76" t="s">
        <v>13</v>
      </c>
      <c r="C440" s="11"/>
      <c r="D440" s="76" t="str">
        <f>IF(ISBLANK(fixtures!$K331),"",fixtures!$K331)</f>
        <v/>
      </c>
      <c r="E440" s="77" t="str">
        <f>IF(ISBLANK(fixtures!$L331),"",":")</f>
        <v/>
      </c>
      <c r="F440" s="78" t="str">
        <f>IF(ISBLANK(fixtures!$L331),"",fixtures!$L331)</f>
        <v/>
      </c>
      <c r="G440" s="11"/>
      <c r="H440" s="78" t="s">
        <v>4</v>
      </c>
      <c r="I440" s="78" t="s">
        <v>45</v>
      </c>
      <c r="J440" s="11"/>
      <c r="K440" s="11"/>
      <c r="L440" s="11"/>
      <c r="M440" s="11"/>
    </row>
    <row r="441" spans="1:21">
      <c r="A441" s="79" t="str">
        <f>Dashboard!D1 &amp; " Time"</f>
        <v>London Time</v>
      </c>
      <c r="B441" s="11"/>
      <c r="C441" s="11"/>
      <c r="D441" s="11"/>
      <c r="E441" s="11"/>
      <c r="F441" s="11"/>
      <c r="G441" s="11"/>
      <c r="H441" s="11"/>
      <c r="I441" s="294" t="s">
        <v>442</v>
      </c>
      <c r="J441" s="11"/>
      <c r="K441" s="11"/>
      <c r="L441" s="11"/>
      <c r="M441" s="11"/>
    </row>
    <row r="442" spans="1:21" ht="31.5">
      <c r="A442" s="26"/>
      <c r="B442" s="26"/>
      <c r="C442" s="26"/>
      <c r="D442" s="26"/>
      <c r="E442" s="26"/>
      <c r="F442" s="26"/>
      <c r="G442" s="26"/>
      <c r="H442" s="357" t="s">
        <v>85</v>
      </c>
      <c r="I442" s="26"/>
      <c r="J442" s="26"/>
      <c r="K442" s="26"/>
      <c r="L442" s="26"/>
      <c r="M442" s="26"/>
    </row>
    <row r="443" spans="1:21">
      <c r="A443" s="358" t="s">
        <v>595</v>
      </c>
      <c r="B443" s="359"/>
      <c r="C443" s="359"/>
      <c r="D443" s="359"/>
      <c r="E443" s="359"/>
      <c r="F443" s="359"/>
      <c r="G443" s="359"/>
      <c r="H443" s="359"/>
      <c r="I443" s="359"/>
      <c r="J443" s="359"/>
      <c r="K443" s="359"/>
      <c r="L443" s="359"/>
      <c r="M443" s="359"/>
    </row>
    <row r="444" spans="1:21">
      <c r="A444" s="360">
        <f ca="1">IFERROR(INDIRECT("fixtures!" &amp; Dashboard!J1 &amp;332) - Dashboard!K1/24,"TBC")</f>
        <v>46137.625</v>
      </c>
      <c r="B444" s="89" t="s">
        <v>1</v>
      </c>
      <c r="C444" s="27"/>
      <c r="D444" s="89" t="str">
        <f>IF(ISBLANK(fixtures!$K332),"",fixtures!$K332)</f>
        <v/>
      </c>
      <c r="E444" s="361" t="str">
        <f>IF(ISBLANK(fixtures!$L332),"",":")</f>
        <v/>
      </c>
      <c r="F444" s="90" t="str">
        <f>IF(ISBLANK(fixtures!$L332),"",fixtures!$L332)</f>
        <v/>
      </c>
      <c r="G444" s="27"/>
      <c r="H444" s="90" t="s">
        <v>12</v>
      </c>
      <c r="I444" s="90" t="s">
        <v>48</v>
      </c>
      <c r="J444" s="27"/>
      <c r="K444" s="27"/>
      <c r="L444" s="27"/>
      <c r="M444" s="27"/>
      <c r="N444" s="319"/>
      <c r="O444" s="319"/>
      <c r="P444" s="319"/>
      <c r="Q444" s="319"/>
      <c r="R444" s="319"/>
      <c r="S444" s="319"/>
      <c r="T444" s="319"/>
      <c r="U444" s="319"/>
    </row>
    <row r="445" spans="1:21">
      <c r="A445" s="360">
        <f ca="1">IFERROR(INDIRECT("fixtures!" &amp; Dashboard!J1 &amp;333) - Dashboard!K1/24,"TBC")</f>
        <v>46137.625</v>
      </c>
      <c r="B445" s="89" t="s">
        <v>3</v>
      </c>
      <c r="C445" s="27"/>
      <c r="D445" s="89" t="str">
        <f>IF(ISBLANK(fixtures!$K333),"",fixtures!$K333)</f>
        <v/>
      </c>
      <c r="E445" s="361" t="str">
        <f>IF(ISBLANK(fixtures!$L333),"",":")</f>
        <v/>
      </c>
      <c r="F445" s="90" t="str">
        <f>IF(ISBLANK(fixtures!$L333),"",fixtures!$L333)</f>
        <v/>
      </c>
      <c r="G445" s="27"/>
      <c r="H445" s="90" t="s">
        <v>444</v>
      </c>
      <c r="I445" s="90" t="s">
        <v>43</v>
      </c>
      <c r="J445" s="27"/>
      <c r="K445" s="27"/>
      <c r="L445" s="27"/>
      <c r="M445" s="27"/>
    </row>
    <row r="446" spans="1:21">
      <c r="A446" s="360">
        <f ca="1">IFERROR(INDIRECT("fixtures!" &amp; Dashboard!J1 &amp;334) - Dashboard!K1/24,"TBC")</f>
        <v>46137.625</v>
      </c>
      <c r="B446" s="89" t="s">
        <v>4</v>
      </c>
      <c r="C446" s="27"/>
      <c r="D446" s="89" t="str">
        <f>IF(ISBLANK(fixtures!$K334),"",fixtures!$K334)</f>
        <v/>
      </c>
      <c r="E446" s="361" t="str">
        <f>IF(ISBLANK(fixtures!$L334),"",":")</f>
        <v/>
      </c>
      <c r="F446" s="90" t="str">
        <f>IF(ISBLANK(fixtures!$L334),"",fixtures!$L334)</f>
        <v/>
      </c>
      <c r="G446" s="27"/>
      <c r="H446" s="90" t="s">
        <v>6</v>
      </c>
      <c r="I446" s="90" t="s">
        <v>217</v>
      </c>
      <c r="J446" s="27"/>
      <c r="K446" s="27"/>
      <c r="L446" s="27"/>
      <c r="M446" s="27"/>
    </row>
    <row r="447" spans="1:21">
      <c r="A447" s="360">
        <f ca="1">IFERROR(INDIRECT("fixtures!" &amp; Dashboard!J1 &amp;335) - Dashboard!K1/24,"TBC")</f>
        <v>46137.625</v>
      </c>
      <c r="B447" s="89" t="s">
        <v>5</v>
      </c>
      <c r="C447" s="27"/>
      <c r="D447" s="89" t="str">
        <f>IF(ISBLANK(fixtures!$K335),"",fixtures!$K335)</f>
        <v/>
      </c>
      <c r="E447" s="361" t="str">
        <f>IF(ISBLANK(fixtures!$L335),"",":")</f>
        <v/>
      </c>
      <c r="F447" s="90" t="str">
        <f>IF(ISBLANK(fixtures!$L335),"",fixtures!$L335)</f>
        <v/>
      </c>
      <c r="G447" s="27"/>
      <c r="H447" s="90" t="s">
        <v>10</v>
      </c>
      <c r="I447" s="90" t="s">
        <v>451</v>
      </c>
      <c r="J447" s="27"/>
      <c r="K447" s="27"/>
      <c r="L447" s="27"/>
      <c r="M447" s="27"/>
    </row>
    <row r="448" spans="1:21">
      <c r="A448" s="360">
        <f ca="1">IFERROR(INDIRECT("fixtures!" &amp; Dashboard!J1 &amp;336) - Dashboard!K1/24,"TBC")</f>
        <v>46137.625</v>
      </c>
      <c r="B448" s="89" t="s">
        <v>108</v>
      </c>
      <c r="C448" s="27"/>
      <c r="D448" s="89" t="str">
        <f>IF(ISBLANK(fixtures!$K336),"",fixtures!$K336)</f>
        <v/>
      </c>
      <c r="E448" s="361" t="str">
        <f>IF(ISBLANK(fixtures!$L336),"",":")</f>
        <v/>
      </c>
      <c r="F448" s="90" t="str">
        <f>IF(ISBLANK(fixtures!$L336),"",fixtures!$L336)</f>
        <v/>
      </c>
      <c r="G448" s="27"/>
      <c r="H448" s="90" t="s">
        <v>2</v>
      </c>
      <c r="I448" s="90" t="s">
        <v>157</v>
      </c>
      <c r="J448" s="27"/>
      <c r="K448" s="27"/>
      <c r="L448" s="27"/>
      <c r="M448" s="27"/>
    </row>
    <row r="449" spans="1:21">
      <c r="A449" s="360">
        <f ca="1">IFERROR(INDIRECT("fixtures!" &amp; Dashboard!J1 &amp;337) - Dashboard!K1/24,"TBC")</f>
        <v>46137.625</v>
      </c>
      <c r="B449" s="89" t="s">
        <v>9</v>
      </c>
      <c r="C449" s="27"/>
      <c r="D449" s="89" t="str">
        <f>IF(ISBLANK(fixtures!$K337),"",fixtures!$K337)</f>
        <v/>
      </c>
      <c r="E449" s="361" t="str">
        <f>IF(ISBLANK(fixtures!$L337),"",":")</f>
        <v/>
      </c>
      <c r="F449" s="90" t="str">
        <f>IF(ISBLANK(fixtures!$L337),"",fixtures!$L337)</f>
        <v/>
      </c>
      <c r="G449" s="27"/>
      <c r="H449" s="90" t="s">
        <v>7</v>
      </c>
      <c r="I449" s="90" t="s">
        <v>40</v>
      </c>
      <c r="J449" s="27"/>
      <c r="K449" s="27"/>
      <c r="L449" s="27"/>
      <c r="M449" s="27"/>
    </row>
    <row r="450" spans="1:21">
      <c r="A450" s="360">
        <f ca="1">IFERROR(INDIRECT("fixtures!" &amp; Dashboard!J1 &amp;338) - Dashboard!K1/24,"TBC")</f>
        <v>46137.625</v>
      </c>
      <c r="B450" s="89" t="s">
        <v>11</v>
      </c>
      <c r="C450" s="27"/>
      <c r="D450" s="89" t="str">
        <f>IF(ISBLANK(fixtures!$K338),"",fixtures!$K338)</f>
        <v/>
      </c>
      <c r="E450" s="361" t="str">
        <f>IF(ISBLANK(fixtures!$L338),"",":")</f>
        <v/>
      </c>
      <c r="F450" s="90" t="str">
        <f>IF(ISBLANK(fixtures!$L338),"",fixtures!$L338)</f>
        <v/>
      </c>
      <c r="G450" s="27"/>
      <c r="H450" s="90" t="s">
        <v>107</v>
      </c>
      <c r="I450" s="90" t="s">
        <v>47</v>
      </c>
      <c r="J450" s="27"/>
      <c r="K450" s="27"/>
      <c r="L450" s="27"/>
      <c r="M450" s="27"/>
    </row>
    <row r="451" spans="1:21">
      <c r="A451" s="360">
        <f ca="1">IFERROR(INDIRECT("fixtures!" &amp; Dashboard!J1 &amp;339) - Dashboard!K1/24,"TBC")</f>
        <v>46137.625</v>
      </c>
      <c r="B451" s="89" t="s">
        <v>443</v>
      </c>
      <c r="C451" s="27"/>
      <c r="D451" s="89" t="str">
        <f>IF(ISBLANK(fixtures!$K339),"",fixtures!$K339)</f>
        <v/>
      </c>
      <c r="E451" s="361" t="str">
        <f>IF(ISBLANK(fixtures!$L339),"",":")</f>
        <v/>
      </c>
      <c r="F451" s="90" t="str">
        <f>IF(ISBLANK(fixtures!$L339),"",fixtures!$L339)</f>
        <v/>
      </c>
      <c r="G451" s="27"/>
      <c r="H451" s="90" t="s">
        <v>188</v>
      </c>
      <c r="I451" s="90" t="s">
        <v>448</v>
      </c>
      <c r="J451" s="27"/>
      <c r="K451" s="27"/>
      <c r="L451" s="27"/>
      <c r="M451" s="27"/>
    </row>
    <row r="452" spans="1:21">
      <c r="A452" s="360">
        <f ca="1">IFERROR(INDIRECT("fixtures!" &amp; Dashboard!J1 &amp;340) - Dashboard!K1/24,"TBC")</f>
        <v>46137.625</v>
      </c>
      <c r="B452" s="89" t="s">
        <v>14</v>
      </c>
      <c r="C452" s="27"/>
      <c r="D452" s="89" t="str">
        <f>IF(ISBLANK(fixtures!$K340),"",fixtures!$K340)</f>
        <v/>
      </c>
      <c r="E452" s="361" t="str">
        <f>IF(ISBLANK(fixtures!$L340),"",":")</f>
        <v/>
      </c>
      <c r="F452" s="90" t="str">
        <f>IF(ISBLANK(fixtures!$L340),"",fixtures!$L340)</f>
        <v/>
      </c>
      <c r="G452" s="27"/>
      <c r="H452" s="90" t="s">
        <v>8</v>
      </c>
      <c r="I452" s="90" t="s">
        <v>42</v>
      </c>
      <c r="J452" s="27"/>
      <c r="K452" s="27"/>
      <c r="L452" s="27"/>
      <c r="M452" s="27"/>
    </row>
    <row r="453" spans="1:21">
      <c r="A453" s="360">
        <f ca="1">IFERROR(INDIRECT("fixtures!" &amp; Dashboard!J1 &amp;341) - Dashboard!K1/24,"TBC")</f>
        <v>46137.625</v>
      </c>
      <c r="B453" s="89" t="s">
        <v>15</v>
      </c>
      <c r="C453" s="27"/>
      <c r="D453" s="89" t="str">
        <f>IF(ISBLANK(fixtures!$K341),"",fixtures!$K341)</f>
        <v/>
      </c>
      <c r="E453" s="361" t="str">
        <f>IF(ISBLANK(fixtures!$L341),"",":")</f>
        <v/>
      </c>
      <c r="F453" s="90" t="str">
        <f>IF(ISBLANK(fixtures!$L341),"",fixtures!$L341)</f>
        <v/>
      </c>
      <c r="G453" s="27"/>
      <c r="H453" s="90" t="s">
        <v>13</v>
      </c>
      <c r="I453" s="90" t="s">
        <v>52</v>
      </c>
      <c r="J453" s="27"/>
      <c r="K453" s="27"/>
      <c r="L453" s="27"/>
      <c r="M453" s="27"/>
    </row>
    <row r="454" spans="1:21">
      <c r="A454" s="362" t="str">
        <f>Dashboard!D1 &amp; " Time"</f>
        <v>London Time</v>
      </c>
      <c r="B454" s="27"/>
      <c r="C454" s="27"/>
      <c r="D454" s="27"/>
      <c r="E454" s="27"/>
      <c r="F454" s="27"/>
      <c r="G454" s="27"/>
      <c r="H454" s="27"/>
      <c r="I454" s="363" t="s">
        <v>442</v>
      </c>
      <c r="J454" s="27"/>
      <c r="K454" s="27"/>
      <c r="L454" s="27"/>
      <c r="M454" s="27"/>
    </row>
    <row r="455" spans="1:21" ht="31.5">
      <c r="A455" s="168"/>
      <c r="B455" s="168"/>
      <c r="C455" s="168"/>
      <c r="D455" s="168"/>
      <c r="E455" s="168"/>
      <c r="F455" s="168"/>
      <c r="G455" s="168"/>
      <c r="H455" s="203" t="s">
        <v>86</v>
      </c>
      <c r="I455" s="168"/>
      <c r="J455" s="168"/>
      <c r="K455" s="168"/>
      <c r="L455" s="168"/>
      <c r="M455" s="168"/>
    </row>
    <row r="456" spans="1:21">
      <c r="A456" s="204" t="s">
        <v>596</v>
      </c>
      <c r="B456" s="205"/>
      <c r="C456" s="205"/>
      <c r="D456" s="205"/>
      <c r="E456" s="205"/>
      <c r="F456" s="205"/>
      <c r="G456" s="205"/>
      <c r="H456" s="205"/>
      <c r="I456" s="205"/>
      <c r="J456" s="205"/>
      <c r="K456" s="205"/>
      <c r="L456" s="205"/>
      <c r="M456" s="205"/>
    </row>
    <row r="457" spans="1:21">
      <c r="A457" s="206">
        <f ca="1">IFERROR(INDIRECT("fixtures!" &amp; Dashboard!J1 &amp;342) - Dashboard!K1/24,"TBC")</f>
        <v>46144.625</v>
      </c>
      <c r="B457" s="207" t="s">
        <v>1</v>
      </c>
      <c r="C457" s="19"/>
      <c r="D457" s="207" t="str">
        <f>IF(ISBLANK(fixtures!$K342),"",fixtures!$K342)</f>
        <v/>
      </c>
      <c r="E457" s="208" t="str">
        <f>IF(ISBLANK(fixtures!$L342),"",":")</f>
        <v/>
      </c>
      <c r="F457" s="209" t="str">
        <f>IF(ISBLANK(fixtures!$L342),"",fixtures!$L342)</f>
        <v/>
      </c>
      <c r="G457" s="19"/>
      <c r="H457" s="209" t="s">
        <v>108</v>
      </c>
      <c r="I457" s="209" t="s">
        <v>48</v>
      </c>
      <c r="J457" s="19"/>
      <c r="K457" s="19"/>
      <c r="L457" s="19"/>
      <c r="M457" s="19"/>
      <c r="N457" s="319"/>
      <c r="O457" s="319"/>
      <c r="P457" s="319"/>
      <c r="Q457" s="319"/>
      <c r="R457" s="319"/>
      <c r="S457" s="319"/>
      <c r="T457" s="319"/>
      <c r="U457" s="319"/>
    </row>
    <row r="458" spans="1:21">
      <c r="A458" s="206">
        <f ca="1">IFERROR(INDIRECT("fixtures!" &amp; Dashboard!J1 &amp;343) - Dashboard!K1/24,"TBC")</f>
        <v>46144.625</v>
      </c>
      <c r="B458" s="207" t="s">
        <v>2</v>
      </c>
      <c r="C458" s="19"/>
      <c r="D458" s="207" t="str">
        <f>IF(ISBLANK(fixtures!$K343),"",fixtures!$K343)</f>
        <v/>
      </c>
      <c r="E458" s="208" t="str">
        <f>IF(ISBLANK(fixtures!$L343),"",":")</f>
        <v/>
      </c>
      <c r="F458" s="209" t="str">
        <f>IF(ISBLANK(fixtures!$L343),"",fixtures!$L343)</f>
        <v/>
      </c>
      <c r="G458" s="19"/>
      <c r="H458" s="209" t="s">
        <v>13</v>
      </c>
      <c r="I458" s="209" t="s">
        <v>49</v>
      </c>
      <c r="J458" s="19"/>
      <c r="K458" s="19"/>
      <c r="L458" s="19"/>
      <c r="M458" s="19"/>
    </row>
    <row r="459" spans="1:21">
      <c r="A459" s="206">
        <f ca="1">IFERROR(INDIRECT("fixtures!" &amp; Dashboard!J1 &amp;344) - Dashboard!K1/24,"TBC")</f>
        <v>46144.625</v>
      </c>
      <c r="B459" s="207" t="s">
        <v>3</v>
      </c>
      <c r="C459" s="19"/>
      <c r="D459" s="207" t="str">
        <f>IF(ISBLANK(fixtures!$K344),"",fixtures!$K344)</f>
        <v/>
      </c>
      <c r="E459" s="208" t="str">
        <f>IF(ISBLANK(fixtures!$L344),"",":")</f>
        <v/>
      </c>
      <c r="F459" s="209" t="str">
        <f>IF(ISBLANK(fixtures!$L344),"",fixtures!$L344)</f>
        <v/>
      </c>
      <c r="G459" s="19"/>
      <c r="H459" s="209" t="s">
        <v>7</v>
      </c>
      <c r="I459" s="209" t="s">
        <v>43</v>
      </c>
      <c r="J459" s="19"/>
      <c r="K459" s="19"/>
      <c r="L459" s="19"/>
      <c r="M459" s="19"/>
    </row>
    <row r="460" spans="1:21">
      <c r="A460" s="206">
        <f ca="1">IFERROR(INDIRECT("fixtures!" &amp; Dashboard!J1 &amp;345) - Dashboard!K1/24,"TBC")</f>
        <v>46144.625</v>
      </c>
      <c r="B460" s="207" t="s">
        <v>107</v>
      </c>
      <c r="C460" s="19"/>
      <c r="D460" s="207" t="str">
        <f>IF(ISBLANK(fixtures!$K345),"",fixtures!$K345)</f>
        <v/>
      </c>
      <c r="E460" s="208" t="str">
        <f>IF(ISBLANK(fixtures!$L345),"",":")</f>
        <v/>
      </c>
      <c r="F460" s="209" t="str">
        <f>IF(ISBLANK(fixtures!$L345),"",fixtures!$L345)</f>
        <v/>
      </c>
      <c r="G460" s="19"/>
      <c r="H460" s="209" t="s">
        <v>14</v>
      </c>
      <c r="I460" s="209" t="s">
        <v>172</v>
      </c>
      <c r="J460" s="19"/>
      <c r="K460" s="19"/>
      <c r="L460" s="19"/>
      <c r="M460" s="19"/>
    </row>
    <row r="461" spans="1:21">
      <c r="A461" s="206">
        <f ca="1">IFERROR(INDIRECT("fixtures!" &amp; Dashboard!J1 &amp;346) - Dashboard!K1/24,"TBC")</f>
        <v>46144.625</v>
      </c>
      <c r="B461" s="207" t="s">
        <v>6</v>
      </c>
      <c r="C461" s="19"/>
      <c r="D461" s="207" t="str">
        <f>IF(ISBLANK(fixtures!$K346),"",fixtures!$K346)</f>
        <v/>
      </c>
      <c r="E461" s="208" t="str">
        <f>IF(ISBLANK(fixtures!$L346),"",":")</f>
        <v/>
      </c>
      <c r="F461" s="209" t="str">
        <f>IF(ISBLANK(fixtures!$L346),"",fixtures!$L346)</f>
        <v/>
      </c>
      <c r="G461" s="19"/>
      <c r="H461" s="209" t="s">
        <v>188</v>
      </c>
      <c r="I461" s="209" t="s">
        <v>51</v>
      </c>
      <c r="J461" s="19"/>
      <c r="K461" s="19"/>
      <c r="L461" s="19"/>
      <c r="M461" s="19"/>
    </row>
    <row r="462" spans="1:21">
      <c r="A462" s="206">
        <f ca="1">IFERROR(INDIRECT("fixtures!" &amp; Dashboard!J1 &amp;347) - Dashboard!K1/24,"TBC")</f>
        <v>46144.625</v>
      </c>
      <c r="B462" s="207" t="s">
        <v>8</v>
      </c>
      <c r="C462" s="19"/>
      <c r="D462" s="207" t="str">
        <f>IF(ISBLANK(fixtures!$K347),"",fixtures!$K347)</f>
        <v/>
      </c>
      <c r="E462" s="208" t="str">
        <f>IF(ISBLANK(fixtures!$L347),"",":")</f>
        <v/>
      </c>
      <c r="F462" s="209" t="str">
        <f>IF(ISBLANK(fixtures!$L347),"",fixtures!$L347)</f>
        <v/>
      </c>
      <c r="G462" s="19"/>
      <c r="H462" s="209" t="s">
        <v>10</v>
      </c>
      <c r="I462" s="209" t="s">
        <v>452</v>
      </c>
      <c r="J462" s="19"/>
      <c r="K462" s="19"/>
      <c r="L462" s="19"/>
      <c r="M462" s="19"/>
    </row>
    <row r="463" spans="1:21">
      <c r="A463" s="206">
        <f ca="1">IFERROR(INDIRECT("fixtures!" &amp; Dashboard!J1 &amp;348) - Dashboard!K1/24,"TBC")</f>
        <v>46144.625</v>
      </c>
      <c r="B463" s="207" t="s">
        <v>444</v>
      </c>
      <c r="C463" s="19"/>
      <c r="D463" s="207" t="str">
        <f>IF(ISBLANK(fixtures!$K348),"",fixtures!$K348)</f>
        <v/>
      </c>
      <c r="E463" s="208" t="str">
        <f>IF(ISBLANK(fixtures!$L348),"",":")</f>
        <v/>
      </c>
      <c r="F463" s="209" t="str">
        <f>IF(ISBLANK(fixtures!$L348),"",fixtures!$L348)</f>
        <v/>
      </c>
      <c r="G463" s="19"/>
      <c r="H463" s="209" t="s">
        <v>5</v>
      </c>
      <c r="I463" s="209" t="s">
        <v>449</v>
      </c>
      <c r="J463" s="19"/>
      <c r="K463" s="19"/>
      <c r="L463" s="19"/>
      <c r="M463" s="19"/>
    </row>
    <row r="464" spans="1:21">
      <c r="A464" s="206">
        <f ca="1">IFERROR(INDIRECT("fixtures!" &amp; Dashboard!J1 &amp;349) - Dashboard!K1/24,"TBC")</f>
        <v>46144.625</v>
      </c>
      <c r="B464" s="207" t="s">
        <v>11</v>
      </c>
      <c r="C464" s="19"/>
      <c r="D464" s="207" t="str">
        <f>IF(ISBLANK(fixtures!$K349),"",fixtures!$K349)</f>
        <v/>
      </c>
      <c r="E464" s="208" t="str">
        <f>IF(ISBLANK(fixtures!$L349),"",":")</f>
        <v/>
      </c>
      <c r="F464" s="209" t="str">
        <f>IF(ISBLANK(fixtures!$L349),"",fixtures!$L349)</f>
        <v/>
      </c>
      <c r="G464" s="19"/>
      <c r="H464" s="209" t="s">
        <v>9</v>
      </c>
      <c r="I464" s="209" t="s">
        <v>47</v>
      </c>
      <c r="J464" s="19"/>
      <c r="K464" s="19"/>
      <c r="L464" s="19"/>
      <c r="M464" s="19"/>
    </row>
    <row r="465" spans="1:21">
      <c r="A465" s="206">
        <f ca="1">IFERROR(INDIRECT("fixtures!" &amp; Dashboard!J1 &amp;350) - Dashboard!K1/24,"TBC")</f>
        <v>46144.625</v>
      </c>
      <c r="B465" s="207" t="s">
        <v>12</v>
      </c>
      <c r="C465" s="19"/>
      <c r="D465" s="207" t="str">
        <f>IF(ISBLANK(fixtures!$K350),"",fixtures!$K350)</f>
        <v/>
      </c>
      <c r="E465" s="208" t="str">
        <f>IF(ISBLANK(fixtures!$L350),"",":")</f>
        <v/>
      </c>
      <c r="F465" s="209" t="str">
        <f>IF(ISBLANK(fixtures!$L350),"",fixtures!$L350)</f>
        <v/>
      </c>
      <c r="G465" s="19"/>
      <c r="H465" s="209" t="s">
        <v>4</v>
      </c>
      <c r="I465" s="209" t="s">
        <v>46</v>
      </c>
      <c r="J465" s="19"/>
      <c r="K465" s="19"/>
      <c r="L465" s="19"/>
      <c r="M465" s="19"/>
    </row>
    <row r="466" spans="1:21">
      <c r="A466" s="206">
        <f ca="1">IFERROR(INDIRECT("fixtures!" &amp; Dashboard!J1 &amp;351) - Dashboard!K1/24,"TBC")</f>
        <v>46144.625</v>
      </c>
      <c r="B466" s="207" t="s">
        <v>15</v>
      </c>
      <c r="C466" s="19"/>
      <c r="D466" s="207" t="str">
        <f>IF(ISBLANK(fixtures!$K351),"",fixtures!$K351)</f>
        <v/>
      </c>
      <c r="E466" s="208" t="str">
        <f>IF(ISBLANK(fixtures!$L351),"",":")</f>
        <v/>
      </c>
      <c r="F466" s="209" t="str">
        <f>IF(ISBLANK(fixtures!$L351),"",fixtures!$L351)</f>
        <v/>
      </c>
      <c r="G466" s="19"/>
      <c r="H466" s="209" t="s">
        <v>443</v>
      </c>
      <c r="I466" s="209" t="s">
        <v>52</v>
      </c>
      <c r="J466" s="19"/>
      <c r="K466" s="19"/>
      <c r="L466" s="19"/>
      <c r="M466" s="19"/>
    </row>
    <row r="467" spans="1:21">
      <c r="A467" s="210" t="str">
        <f>Dashboard!D1 &amp; " Time"</f>
        <v>London Time</v>
      </c>
      <c r="B467" s="19"/>
      <c r="C467" s="19"/>
      <c r="D467" s="19"/>
      <c r="E467" s="19"/>
      <c r="F467" s="19"/>
      <c r="G467" s="19"/>
      <c r="H467" s="19"/>
      <c r="I467" s="296" t="s">
        <v>442</v>
      </c>
      <c r="J467" s="19"/>
      <c r="K467" s="19"/>
      <c r="L467" s="19"/>
      <c r="M467" s="19"/>
    </row>
    <row r="468" spans="1:21" ht="31.5">
      <c r="A468" s="24"/>
      <c r="B468" s="24"/>
      <c r="C468" s="24"/>
      <c r="D468" s="24"/>
      <c r="E468" s="24"/>
      <c r="F468" s="24"/>
      <c r="G468" s="24"/>
      <c r="H468" s="84" t="s">
        <v>87</v>
      </c>
      <c r="I468" s="24"/>
      <c r="J468" s="24"/>
      <c r="K468" s="24"/>
      <c r="L468" s="24"/>
      <c r="M468" s="24"/>
    </row>
    <row r="469" spans="1:21">
      <c r="A469" s="162" t="s">
        <v>597</v>
      </c>
      <c r="B469" s="163"/>
      <c r="C469" s="163"/>
      <c r="D469" s="163"/>
      <c r="E469" s="163"/>
      <c r="F469" s="163"/>
      <c r="G469" s="163"/>
      <c r="H469" s="163"/>
      <c r="I469" s="163"/>
      <c r="J469" s="163"/>
      <c r="K469" s="163"/>
      <c r="L469" s="163"/>
      <c r="M469" s="163"/>
    </row>
    <row r="470" spans="1:21">
      <c r="A470" s="140">
        <f ca="1">IFERROR(INDIRECT("fixtures!" &amp; Dashboard!J1 &amp;352) - Dashboard!K1/24,"TBC")</f>
        <v>46151.625</v>
      </c>
      <c r="B470" s="85" t="s">
        <v>4</v>
      </c>
      <c r="C470" s="25"/>
      <c r="D470" s="85" t="str">
        <f>IF(ISBLANK(fixtures!$K352),"",fixtures!$K352)</f>
        <v/>
      </c>
      <c r="E470" s="86" t="str">
        <f>IF(ISBLANK(fixtures!$L352),"",":")</f>
        <v/>
      </c>
      <c r="F470" s="87" t="str">
        <f>IF(ISBLANK(fixtures!$L352),"",fixtures!$L352)</f>
        <v/>
      </c>
      <c r="G470" s="25"/>
      <c r="H470" s="87" t="s">
        <v>15</v>
      </c>
      <c r="I470" s="87" t="s">
        <v>217</v>
      </c>
      <c r="J470" s="25"/>
      <c r="K470" s="25"/>
      <c r="L470" s="25"/>
      <c r="M470" s="25"/>
      <c r="N470" s="319"/>
      <c r="O470" s="319"/>
      <c r="P470" s="319"/>
      <c r="Q470" s="319"/>
      <c r="R470" s="319"/>
      <c r="S470" s="319"/>
      <c r="T470" s="319"/>
      <c r="U470" s="319"/>
    </row>
    <row r="471" spans="1:21">
      <c r="A471" s="140">
        <f ca="1">IFERROR(INDIRECT("fixtures!" &amp; Dashboard!J1 &amp;353) - Dashboard!K1/24,"TBC")</f>
        <v>46151.625</v>
      </c>
      <c r="B471" s="85" t="s">
        <v>5</v>
      </c>
      <c r="C471" s="25"/>
      <c r="D471" s="85" t="str">
        <f>IF(ISBLANK(fixtures!$K353),"",fixtures!$K353)</f>
        <v/>
      </c>
      <c r="E471" s="86" t="str">
        <f>IF(ISBLANK(fixtures!$L353),"",":")</f>
        <v/>
      </c>
      <c r="F471" s="87" t="str">
        <f>IF(ISBLANK(fixtures!$L353),"",fixtures!$L353)</f>
        <v/>
      </c>
      <c r="G471" s="25"/>
      <c r="H471" s="87" t="s">
        <v>2</v>
      </c>
      <c r="I471" s="87" t="s">
        <v>451</v>
      </c>
      <c r="J471" s="25"/>
      <c r="K471" s="25"/>
      <c r="L471" s="25"/>
      <c r="M471" s="25"/>
    </row>
    <row r="472" spans="1:21">
      <c r="A472" s="140">
        <f ca="1">IFERROR(INDIRECT("fixtures!" &amp; Dashboard!J1 &amp;354) - Dashboard!K1/24,"TBC")</f>
        <v>46151.625</v>
      </c>
      <c r="B472" s="85" t="s">
        <v>7</v>
      </c>
      <c r="C472" s="25"/>
      <c r="D472" s="85" t="str">
        <f>IF(ISBLANK(fixtures!$K354),"",fixtures!$K354)</f>
        <v/>
      </c>
      <c r="E472" s="86" t="str">
        <f>IF(ISBLANK(fixtures!$L354),"",":")</f>
        <v/>
      </c>
      <c r="F472" s="87" t="str">
        <f>IF(ISBLANK(fixtures!$L354),"",fixtures!$L354)</f>
        <v/>
      </c>
      <c r="G472" s="25"/>
      <c r="H472" s="87" t="s">
        <v>8</v>
      </c>
      <c r="I472" s="87" t="s">
        <v>44</v>
      </c>
      <c r="J472" s="25"/>
      <c r="K472" s="25"/>
      <c r="L472" s="25"/>
      <c r="M472" s="25"/>
    </row>
    <row r="473" spans="1:21">
      <c r="A473" s="140">
        <f ca="1">IFERROR(INDIRECT("fixtures!" &amp; Dashboard!J1 &amp;355) - Dashboard!K1/24,"TBC")</f>
        <v>46151.625</v>
      </c>
      <c r="B473" s="85" t="s">
        <v>108</v>
      </c>
      <c r="C473" s="25"/>
      <c r="D473" s="85" t="str">
        <f>IF(ISBLANK(fixtures!$K355),"",fixtures!$K355)</f>
        <v/>
      </c>
      <c r="E473" s="86" t="str">
        <f>IF(ISBLANK(fixtures!$L355),"",":")</f>
        <v/>
      </c>
      <c r="F473" s="87" t="str">
        <f>IF(ISBLANK(fixtures!$L355),"",fixtures!$L355)</f>
        <v/>
      </c>
      <c r="G473" s="25"/>
      <c r="H473" s="87" t="s">
        <v>3</v>
      </c>
      <c r="I473" s="87" t="s">
        <v>157</v>
      </c>
      <c r="J473" s="25"/>
      <c r="K473" s="25"/>
      <c r="L473" s="25"/>
      <c r="M473" s="25"/>
    </row>
    <row r="474" spans="1:21">
      <c r="A474" s="140">
        <f ca="1">IFERROR(INDIRECT("fixtures!" &amp; Dashboard!J1 &amp;356) - Dashboard!K1/24,"TBC")</f>
        <v>46151.625</v>
      </c>
      <c r="B474" s="85" t="s">
        <v>9</v>
      </c>
      <c r="C474" s="25"/>
      <c r="D474" s="85" t="str">
        <f>IF(ISBLANK(fixtures!$K356),"",fixtures!$K356)</f>
        <v/>
      </c>
      <c r="E474" s="86" t="str">
        <f>IF(ISBLANK(fixtures!$L356),"",":")</f>
        <v/>
      </c>
      <c r="F474" s="87" t="str">
        <f>IF(ISBLANK(fixtures!$L356),"",fixtures!$L356)</f>
        <v/>
      </c>
      <c r="G474" s="25"/>
      <c r="H474" s="87" t="s">
        <v>6</v>
      </c>
      <c r="I474" s="87" t="s">
        <v>40</v>
      </c>
      <c r="J474" s="25"/>
      <c r="K474" s="25"/>
      <c r="L474" s="25"/>
      <c r="M474" s="25"/>
    </row>
    <row r="475" spans="1:21">
      <c r="A475" s="140">
        <f ca="1">IFERROR(INDIRECT("fixtures!" &amp; Dashboard!J1 &amp;357) - Dashboard!K1/24,"TBC")</f>
        <v>46151.625</v>
      </c>
      <c r="B475" s="85" t="s">
        <v>10</v>
      </c>
      <c r="C475" s="25"/>
      <c r="D475" s="85" t="str">
        <f>IF(ISBLANK(fixtures!$K357),"",fixtures!$K357)</f>
        <v/>
      </c>
      <c r="E475" s="86" t="str">
        <f>IF(ISBLANK(fixtures!$L357),"",":")</f>
        <v/>
      </c>
      <c r="F475" s="87" t="str">
        <f>IF(ISBLANK(fixtures!$L357),"",fixtures!$L357)</f>
        <v/>
      </c>
      <c r="G475" s="25"/>
      <c r="H475" s="87" t="s">
        <v>107</v>
      </c>
      <c r="I475" s="87" t="s">
        <v>50</v>
      </c>
      <c r="J475" s="25"/>
      <c r="K475" s="25"/>
      <c r="L475" s="25"/>
      <c r="M475" s="25"/>
    </row>
    <row r="476" spans="1:21">
      <c r="A476" s="140">
        <f ca="1">IFERROR(INDIRECT("fixtures!" &amp; Dashboard!J1 &amp;358) - Dashboard!K1/24,"TBC")</f>
        <v>46151.625</v>
      </c>
      <c r="B476" s="85" t="s">
        <v>188</v>
      </c>
      <c r="C476" s="25"/>
      <c r="D476" s="85" t="str">
        <f>IF(ISBLANK(fixtures!$K358),"",fixtures!$K358)</f>
        <v/>
      </c>
      <c r="E476" s="86" t="str">
        <f>IF(ISBLANK(fixtures!$L358),"",":")</f>
        <v/>
      </c>
      <c r="F476" s="87" t="str">
        <f>IF(ISBLANK(fixtures!$L358),"",fixtures!$L358)</f>
        <v/>
      </c>
      <c r="G476" s="25"/>
      <c r="H476" s="87" t="s">
        <v>12</v>
      </c>
      <c r="I476" s="87" t="s">
        <v>158</v>
      </c>
      <c r="J476" s="25"/>
      <c r="K476" s="25"/>
      <c r="L476" s="25"/>
      <c r="M476" s="25"/>
    </row>
    <row r="477" spans="1:21">
      <c r="A477" s="140">
        <f ca="1">IFERROR(INDIRECT("fixtures!" &amp; Dashboard!J1 &amp;359) - Dashboard!K1/24,"TBC")</f>
        <v>46151.625</v>
      </c>
      <c r="B477" s="85" t="s">
        <v>13</v>
      </c>
      <c r="C477" s="25"/>
      <c r="D477" s="85" t="str">
        <f>IF(ISBLANK(fixtures!$K359),"",fixtures!$K359)</f>
        <v/>
      </c>
      <c r="E477" s="86" t="str">
        <f>IF(ISBLANK(fixtures!$L359),"",":")</f>
        <v/>
      </c>
      <c r="F477" s="87" t="str">
        <f>IF(ISBLANK(fixtures!$L359),"",fixtures!$L359)</f>
        <v/>
      </c>
      <c r="G477" s="25"/>
      <c r="H477" s="87" t="s">
        <v>444</v>
      </c>
      <c r="I477" s="87" t="s">
        <v>45</v>
      </c>
      <c r="J477" s="25"/>
      <c r="K477" s="25"/>
      <c r="L477" s="25"/>
      <c r="M477" s="25"/>
    </row>
    <row r="478" spans="1:21">
      <c r="A478" s="140">
        <f ca="1">IFERROR(INDIRECT("fixtures!" &amp; Dashboard!J1 &amp;360) - Dashboard!K1/24,"TBC")</f>
        <v>46151.625</v>
      </c>
      <c r="B478" s="85" t="s">
        <v>443</v>
      </c>
      <c r="C478" s="25"/>
      <c r="D478" s="85" t="str">
        <f>IF(ISBLANK(fixtures!$K360),"",fixtures!$K360)</f>
        <v/>
      </c>
      <c r="E478" s="86" t="str">
        <f>IF(ISBLANK(fixtures!$L360),"",":")</f>
        <v/>
      </c>
      <c r="F478" s="87" t="str">
        <f>IF(ISBLANK(fixtures!$L360),"",fixtures!$L360)</f>
        <v/>
      </c>
      <c r="G478" s="25"/>
      <c r="H478" s="87" t="s">
        <v>11</v>
      </c>
      <c r="I478" s="87" t="s">
        <v>448</v>
      </c>
      <c r="J478" s="25"/>
      <c r="K478" s="25"/>
      <c r="L478" s="25"/>
      <c r="M478" s="25"/>
      <c r="N478" s="319"/>
      <c r="O478" s="319"/>
      <c r="P478" s="319"/>
      <c r="Q478" s="319"/>
      <c r="R478" s="319"/>
      <c r="S478" s="319"/>
      <c r="T478" s="319"/>
      <c r="U478" s="319"/>
    </row>
    <row r="479" spans="1:21">
      <c r="A479" s="140">
        <f ca="1">IFERROR(INDIRECT("fixtures!" &amp; Dashboard!J1 &amp;361) - Dashboard!K1/24,"TBC")</f>
        <v>46151.625</v>
      </c>
      <c r="B479" s="85" t="s">
        <v>14</v>
      </c>
      <c r="C479" s="25"/>
      <c r="D479" s="85" t="str">
        <f>IF(ISBLANK(fixtures!$K361),"",fixtures!$K361)</f>
        <v/>
      </c>
      <c r="E479" s="86" t="str">
        <f>IF(ISBLANK(fixtures!$L361),"",":")</f>
        <v/>
      </c>
      <c r="F479" s="87" t="str">
        <f>IF(ISBLANK(fixtures!$L361),"",fixtures!$L361)</f>
        <v/>
      </c>
      <c r="G479" s="25"/>
      <c r="H479" s="87" t="s">
        <v>1</v>
      </c>
      <c r="I479" s="87" t="s">
        <v>42</v>
      </c>
      <c r="J479" s="25"/>
      <c r="K479" s="25"/>
      <c r="L479" s="25"/>
      <c r="M479" s="25"/>
    </row>
    <row r="480" spans="1:21">
      <c r="A480" s="88" t="str">
        <f>Dashboard!D1 &amp; " Time"</f>
        <v>London Time</v>
      </c>
      <c r="B480" s="25"/>
      <c r="C480" s="25"/>
      <c r="D480" s="25"/>
      <c r="E480" s="25"/>
      <c r="F480" s="25"/>
      <c r="G480" s="25"/>
      <c r="H480" s="25"/>
      <c r="I480" s="297" t="s">
        <v>442</v>
      </c>
      <c r="J480" s="25"/>
      <c r="K480" s="25"/>
      <c r="L480" s="25"/>
      <c r="M480" s="25"/>
    </row>
    <row r="481" spans="1:21" ht="31.5">
      <c r="A481" s="12"/>
      <c r="B481" s="12"/>
      <c r="C481" s="12"/>
      <c r="D481" s="12"/>
      <c r="E481" s="12"/>
      <c r="F481" s="12"/>
      <c r="G481" s="12"/>
      <c r="H481" s="144" t="s">
        <v>88</v>
      </c>
      <c r="I481" s="12"/>
      <c r="J481" s="12"/>
      <c r="K481" s="12"/>
      <c r="L481" s="12"/>
      <c r="M481" s="12"/>
    </row>
    <row r="482" spans="1:21">
      <c r="A482" s="158" t="s">
        <v>598</v>
      </c>
      <c r="B482" s="159"/>
      <c r="C482" s="159"/>
      <c r="D482" s="159"/>
      <c r="E482" s="159"/>
      <c r="F482" s="159"/>
      <c r="G482" s="159"/>
      <c r="H482" s="159"/>
      <c r="I482" s="159"/>
      <c r="J482" s="159"/>
      <c r="K482" s="159"/>
      <c r="L482" s="159"/>
      <c r="M482" s="159"/>
    </row>
    <row r="483" spans="1:21">
      <c r="A483" s="145">
        <f ca="1">IFERROR(INDIRECT("fixtures!" &amp; Dashboard!J1 &amp;362) - Dashboard!K1/24,"TBC")</f>
        <v>46159.625</v>
      </c>
      <c r="B483" s="146" t="s">
        <v>1</v>
      </c>
      <c r="C483" s="13"/>
      <c r="D483" s="146" t="str">
        <f>IF(ISBLANK(fixtures!$K362),"",fixtures!$K362)</f>
        <v/>
      </c>
      <c r="E483" s="147" t="str">
        <f>IF(ISBLANK(fixtures!$L362),"",":")</f>
        <v/>
      </c>
      <c r="F483" s="148" t="str">
        <f>IF(ISBLANK(fixtures!$L362),"",fixtures!$L362)</f>
        <v/>
      </c>
      <c r="G483" s="13"/>
      <c r="H483" s="148" t="s">
        <v>5</v>
      </c>
      <c r="I483" s="148" t="s">
        <v>48</v>
      </c>
      <c r="J483" s="13"/>
      <c r="K483" s="13"/>
      <c r="L483" s="13"/>
      <c r="M483" s="13"/>
    </row>
    <row r="484" spans="1:21">
      <c r="A484" s="145">
        <f ca="1">IFERROR(INDIRECT("fixtures!" &amp; Dashboard!J1 &amp;363) - Dashboard!K1/24,"TBC")</f>
        <v>46159.625</v>
      </c>
      <c r="B484" s="146" t="s">
        <v>2</v>
      </c>
      <c r="C484" s="13"/>
      <c r="D484" s="146" t="str">
        <f>IF(ISBLANK(fixtures!$K363),"",fixtures!$K363)</f>
        <v/>
      </c>
      <c r="E484" s="147" t="str">
        <f>IF(ISBLANK(fixtures!$L363),"",":")</f>
        <v/>
      </c>
      <c r="F484" s="148" t="str">
        <f>IF(ISBLANK(fixtures!$L363),"",fixtures!$L363)</f>
        <v/>
      </c>
      <c r="G484" s="13"/>
      <c r="H484" s="148" t="s">
        <v>9</v>
      </c>
      <c r="I484" s="148" t="s">
        <v>49</v>
      </c>
      <c r="J484" s="13"/>
      <c r="K484" s="13"/>
      <c r="L484" s="13"/>
      <c r="M484" s="13"/>
      <c r="N484" s="319"/>
      <c r="O484" s="319"/>
      <c r="P484" s="319"/>
      <c r="Q484" s="319"/>
      <c r="R484" s="319"/>
      <c r="S484" s="319"/>
      <c r="T484" s="319"/>
      <c r="U484" s="319"/>
    </row>
    <row r="485" spans="1:21">
      <c r="A485" s="145">
        <f ca="1">IFERROR(INDIRECT("fixtures!" &amp; Dashboard!J1 &amp;364) - Dashboard!K1/24,"TBC")</f>
        <v>46159.625</v>
      </c>
      <c r="B485" s="146" t="s">
        <v>3</v>
      </c>
      <c r="C485" s="13"/>
      <c r="D485" s="146" t="str">
        <f>IF(ISBLANK(fixtures!$K364),"",fixtures!$K364)</f>
        <v/>
      </c>
      <c r="E485" s="147" t="str">
        <f>IF(ISBLANK(fixtures!$L364),"",":")</f>
        <v/>
      </c>
      <c r="F485" s="148" t="str">
        <f>IF(ISBLANK(fixtures!$L364),"",fixtures!$L364)</f>
        <v/>
      </c>
      <c r="G485" s="13"/>
      <c r="H485" s="148" t="s">
        <v>10</v>
      </c>
      <c r="I485" s="148" t="s">
        <v>43</v>
      </c>
      <c r="J485" s="13"/>
      <c r="K485" s="13"/>
      <c r="L485" s="13"/>
      <c r="M485" s="13"/>
    </row>
    <row r="486" spans="1:21">
      <c r="A486" s="145">
        <f ca="1">IFERROR(INDIRECT("fixtures!" &amp; Dashboard!J1 &amp;365) - Dashboard!K1/24,"TBC")</f>
        <v>46159.625</v>
      </c>
      <c r="B486" s="146" t="s">
        <v>107</v>
      </c>
      <c r="C486" s="13"/>
      <c r="D486" s="146" t="str">
        <f>IF(ISBLANK(fixtures!$K365),"",fixtures!$K365)</f>
        <v/>
      </c>
      <c r="E486" s="147" t="str">
        <f>IF(ISBLANK(fixtures!$L365),"",":")</f>
        <v/>
      </c>
      <c r="F486" s="148" t="str">
        <f>IF(ISBLANK(fixtures!$L365),"",fixtures!$L365)</f>
        <v/>
      </c>
      <c r="G486" s="13"/>
      <c r="H486" s="148" t="s">
        <v>7</v>
      </c>
      <c r="I486" s="148" t="s">
        <v>172</v>
      </c>
      <c r="J486" s="13"/>
      <c r="K486" s="13"/>
      <c r="L486" s="13"/>
      <c r="M486" s="13"/>
    </row>
    <row r="487" spans="1:21">
      <c r="A487" s="145">
        <f ca="1">IFERROR(INDIRECT("fixtures!" &amp; Dashboard!J1 &amp;366) - Dashboard!K1/24,"TBC")</f>
        <v>46159.625</v>
      </c>
      <c r="B487" s="146" t="s">
        <v>6</v>
      </c>
      <c r="C487" s="13"/>
      <c r="D487" s="146" t="str">
        <f>IF(ISBLANK(fixtures!$K366),"",fixtures!$K366)</f>
        <v/>
      </c>
      <c r="E487" s="147" t="str">
        <f>IF(ISBLANK(fixtures!$L366),"",":")</f>
        <v/>
      </c>
      <c r="F487" s="148" t="str">
        <f>IF(ISBLANK(fixtures!$L366),"",fixtures!$L366)</f>
        <v/>
      </c>
      <c r="G487" s="13"/>
      <c r="H487" s="148" t="s">
        <v>13</v>
      </c>
      <c r="I487" s="148" t="s">
        <v>51</v>
      </c>
      <c r="J487" s="13"/>
      <c r="K487" s="13"/>
      <c r="L487" s="13"/>
      <c r="M487" s="13"/>
    </row>
    <row r="488" spans="1:21">
      <c r="A488" s="145">
        <f ca="1">IFERROR(INDIRECT("fixtures!" &amp; Dashboard!J1 &amp;367) - Dashboard!K1/24,"TBC")</f>
        <v>46159.625</v>
      </c>
      <c r="B488" s="146" t="s">
        <v>8</v>
      </c>
      <c r="C488" s="13"/>
      <c r="D488" s="146" t="str">
        <f>IF(ISBLANK(fixtures!$K367),"",fixtures!$K367)</f>
        <v/>
      </c>
      <c r="E488" s="147" t="str">
        <f>IF(ISBLANK(fixtures!$L367),"",":")</f>
        <v/>
      </c>
      <c r="F488" s="148" t="str">
        <f>IF(ISBLANK(fixtures!$L367),"",fixtures!$L367)</f>
        <v/>
      </c>
      <c r="G488" s="13"/>
      <c r="H488" s="148" t="s">
        <v>443</v>
      </c>
      <c r="I488" s="148" t="s">
        <v>452</v>
      </c>
      <c r="J488" s="13"/>
      <c r="K488" s="13"/>
      <c r="L488" s="13"/>
      <c r="M488" s="13"/>
    </row>
    <row r="489" spans="1:21">
      <c r="A489" s="145">
        <f ca="1">IFERROR(INDIRECT("fixtures!" &amp; Dashboard!J1 &amp;368) - Dashboard!K1/24,"TBC")</f>
        <v>46159.625</v>
      </c>
      <c r="B489" s="146" t="s">
        <v>444</v>
      </c>
      <c r="C489" s="13"/>
      <c r="D489" s="146" t="str">
        <f>IF(ISBLANK(fixtures!$K368),"",fixtures!$K368)</f>
        <v/>
      </c>
      <c r="E489" s="147" t="str">
        <f>IF(ISBLANK(fixtures!$L368),"",":")</f>
        <v/>
      </c>
      <c r="F489" s="148" t="str">
        <f>IF(ISBLANK(fixtures!$L368),"",fixtures!$L368)</f>
        <v/>
      </c>
      <c r="G489" s="13"/>
      <c r="H489" s="148" t="s">
        <v>4</v>
      </c>
      <c r="I489" s="148" t="s">
        <v>449</v>
      </c>
      <c r="J489" s="13"/>
      <c r="K489" s="13"/>
      <c r="L489" s="13"/>
      <c r="M489" s="13"/>
    </row>
    <row r="490" spans="1:21">
      <c r="A490" s="145">
        <f ca="1">IFERROR(INDIRECT("fixtures!" &amp; Dashboard!J1 &amp;369) - Dashboard!K1/24,"TBC")</f>
        <v>46159.625</v>
      </c>
      <c r="B490" s="146" t="s">
        <v>11</v>
      </c>
      <c r="C490" s="13"/>
      <c r="D490" s="146" t="str">
        <f>IF(ISBLANK(fixtures!$K369),"",fixtures!$K369)</f>
        <v/>
      </c>
      <c r="E490" s="147" t="str">
        <f>IF(ISBLANK(fixtures!$L369),"",":")</f>
        <v/>
      </c>
      <c r="F490" s="148" t="str">
        <f>IF(ISBLANK(fixtures!$L369),"",fixtures!$L369)</f>
        <v/>
      </c>
      <c r="G490" s="13"/>
      <c r="H490" s="148" t="s">
        <v>188</v>
      </c>
      <c r="I490" s="148" t="s">
        <v>47</v>
      </c>
      <c r="J490" s="13"/>
      <c r="K490" s="13"/>
      <c r="L490" s="13"/>
      <c r="M490" s="13"/>
    </row>
    <row r="491" spans="1:21">
      <c r="A491" s="145">
        <f ca="1">IFERROR(INDIRECT("fixtures!" &amp; Dashboard!J1 &amp;370) - Dashboard!K1/24,"TBC")</f>
        <v>46159.625</v>
      </c>
      <c r="B491" s="146" t="s">
        <v>12</v>
      </c>
      <c r="C491" s="13"/>
      <c r="D491" s="146" t="str">
        <f>IF(ISBLANK(fixtures!$K370),"",fixtures!$K370)</f>
        <v/>
      </c>
      <c r="E491" s="147" t="str">
        <f>IF(ISBLANK(fixtures!$L370),"",":")</f>
        <v/>
      </c>
      <c r="F491" s="148" t="str">
        <f>IF(ISBLANK(fixtures!$L370),"",fixtures!$L370)</f>
        <v/>
      </c>
      <c r="G491" s="13"/>
      <c r="H491" s="148" t="s">
        <v>14</v>
      </c>
      <c r="I491" s="148" t="s">
        <v>46</v>
      </c>
      <c r="J491" s="13"/>
      <c r="K491" s="13"/>
      <c r="L491" s="13"/>
      <c r="M491" s="13"/>
    </row>
    <row r="492" spans="1:21">
      <c r="A492" s="145">
        <f ca="1">IFERROR(INDIRECT("fixtures!" &amp; Dashboard!J1 &amp;371) - Dashboard!K1/24,"TBC")</f>
        <v>46159.625</v>
      </c>
      <c r="B492" s="146" t="s">
        <v>15</v>
      </c>
      <c r="C492" s="13"/>
      <c r="D492" s="146" t="str">
        <f>IF(ISBLANK(fixtures!$K371),"",fixtures!$K371)</f>
        <v/>
      </c>
      <c r="E492" s="147" t="str">
        <f>IF(ISBLANK(fixtures!$L371),"",":")</f>
        <v/>
      </c>
      <c r="F492" s="148" t="str">
        <f>IF(ISBLANK(fixtures!$L371),"",fixtures!$L371)</f>
        <v/>
      </c>
      <c r="G492" s="13"/>
      <c r="H492" s="148" t="s">
        <v>108</v>
      </c>
      <c r="I492" s="148" t="s">
        <v>52</v>
      </c>
      <c r="J492" s="13"/>
      <c r="K492" s="13"/>
      <c r="L492" s="13"/>
      <c r="M492" s="13"/>
    </row>
    <row r="493" spans="1:21">
      <c r="A493" s="149" t="str">
        <f>Dashboard!D1 &amp; " Time"</f>
        <v>London Time</v>
      </c>
      <c r="B493" s="13"/>
      <c r="C493" s="13"/>
      <c r="D493" s="13"/>
      <c r="E493" s="13"/>
      <c r="F493" s="13"/>
      <c r="G493" s="13"/>
      <c r="H493" s="13"/>
      <c r="I493" s="295" t="s">
        <v>442</v>
      </c>
      <c r="J493" s="13"/>
      <c r="K493" s="13"/>
      <c r="L493" s="13"/>
      <c r="M493" s="13"/>
    </row>
    <row r="494" spans="1:21" ht="31.5">
      <c r="A494" s="28"/>
      <c r="B494" s="28"/>
      <c r="C494" s="28"/>
      <c r="D494" s="28"/>
      <c r="E494" s="28"/>
      <c r="F494" s="28"/>
      <c r="G494" s="28"/>
      <c r="H494" s="91" t="s">
        <v>89</v>
      </c>
      <c r="I494" s="28"/>
      <c r="J494" s="28"/>
      <c r="K494" s="28"/>
      <c r="L494" s="28"/>
      <c r="M494" s="28"/>
    </row>
    <row r="495" spans="1:21">
      <c r="A495" s="164" t="s">
        <v>599</v>
      </c>
      <c r="B495" s="165"/>
      <c r="C495" s="165"/>
      <c r="D495" s="165"/>
      <c r="E495" s="165"/>
      <c r="F495" s="165"/>
      <c r="G495" s="165"/>
      <c r="H495" s="165"/>
      <c r="I495" s="165"/>
      <c r="J495" s="165"/>
      <c r="K495" s="165"/>
      <c r="L495" s="165"/>
      <c r="M495" s="165"/>
    </row>
    <row r="496" spans="1:21">
      <c r="A496" s="141">
        <f ca="1">IFERROR(INDIRECT("fixtures!" &amp; Dashboard!J1 &amp;372) - Dashboard!K1/24,"TBC")</f>
        <v>46166.666666666664</v>
      </c>
      <c r="B496" s="92" t="s">
        <v>4</v>
      </c>
      <c r="C496" s="29"/>
      <c r="D496" s="92" t="str">
        <f>IF(ISBLANK(fixtures!$K372),"",fixtures!$K372)</f>
        <v/>
      </c>
      <c r="E496" s="93" t="str">
        <f>IF(ISBLANK(fixtures!$L372),"",":")</f>
        <v/>
      </c>
      <c r="F496" s="94" t="str">
        <f>IF(ISBLANK(fixtures!$L372),"",fixtures!$L372)</f>
        <v/>
      </c>
      <c r="G496" s="29"/>
      <c r="H496" s="94" t="s">
        <v>11</v>
      </c>
      <c r="I496" s="94" t="s">
        <v>217</v>
      </c>
      <c r="J496" s="29"/>
      <c r="K496" s="29"/>
      <c r="L496" s="29"/>
      <c r="M496" s="29"/>
    </row>
    <row r="497" spans="1:21">
      <c r="A497" s="141">
        <f ca="1">IFERROR(INDIRECT("fixtures!" &amp; Dashboard!J1 &amp;373) - Dashboard!K1/24,"TBC")</f>
        <v>46166.666666666664</v>
      </c>
      <c r="B497" s="92" t="s">
        <v>5</v>
      </c>
      <c r="C497" s="29"/>
      <c r="D497" s="92" t="str">
        <f>IF(ISBLANK(fixtures!$K373),"",fixtures!$K373)</f>
        <v/>
      </c>
      <c r="E497" s="93" t="str">
        <f>IF(ISBLANK(fixtures!$L373),"",":")</f>
        <v/>
      </c>
      <c r="F497" s="94" t="str">
        <f>IF(ISBLANK(fixtures!$L373),"",fixtures!$L373)</f>
        <v/>
      </c>
      <c r="G497" s="29"/>
      <c r="H497" s="94" t="s">
        <v>15</v>
      </c>
      <c r="I497" s="94" t="s">
        <v>451</v>
      </c>
      <c r="J497" s="29"/>
      <c r="K497" s="29"/>
      <c r="L497" s="29"/>
      <c r="M497" s="29"/>
      <c r="N497" s="319"/>
      <c r="O497" s="319"/>
      <c r="P497" s="319"/>
      <c r="Q497" s="319"/>
      <c r="R497" s="319"/>
      <c r="S497" s="319"/>
      <c r="T497" s="319"/>
      <c r="U497" s="319"/>
    </row>
    <row r="498" spans="1:21">
      <c r="A498" s="141">
        <f ca="1">IFERROR(INDIRECT("fixtures!" &amp; Dashboard!J1 &amp;374) - Dashboard!K1/24,"TBC")</f>
        <v>46166.666666666664</v>
      </c>
      <c r="B498" s="92" t="s">
        <v>7</v>
      </c>
      <c r="C498" s="29"/>
      <c r="D498" s="92" t="str">
        <f>IF(ISBLANK(fixtures!$K374),"",fixtures!$K374)</f>
        <v/>
      </c>
      <c r="E498" s="93" t="str">
        <f>IF(ISBLANK(fixtures!$L374),"",":")</f>
        <v/>
      </c>
      <c r="F498" s="94" t="str">
        <f>IF(ISBLANK(fixtures!$L374),"",fixtures!$L374)</f>
        <v/>
      </c>
      <c r="G498" s="29"/>
      <c r="H498" s="94" t="s">
        <v>1</v>
      </c>
      <c r="I498" s="94" t="s">
        <v>44</v>
      </c>
      <c r="J498" s="29"/>
      <c r="K498" s="29"/>
      <c r="L498" s="29"/>
      <c r="M498" s="29"/>
    </row>
    <row r="499" spans="1:21">
      <c r="A499" s="141">
        <f ca="1">IFERROR(INDIRECT("fixtures!" &amp; Dashboard!J1 &amp;375) - Dashboard!K1/24,"TBC")</f>
        <v>46166.666666666664</v>
      </c>
      <c r="B499" s="92" t="s">
        <v>108</v>
      </c>
      <c r="C499" s="29"/>
      <c r="D499" s="92" t="str">
        <f>IF(ISBLANK(fixtures!$K375),"",fixtures!$K375)</f>
        <v/>
      </c>
      <c r="E499" s="93" t="str">
        <f>IF(ISBLANK(fixtures!$L375),"",":")</f>
        <v/>
      </c>
      <c r="F499" s="94" t="str">
        <f>IF(ISBLANK(fixtures!$L375),"",fixtures!$L375)</f>
        <v/>
      </c>
      <c r="G499" s="29"/>
      <c r="H499" s="94" t="s">
        <v>12</v>
      </c>
      <c r="I499" s="94" t="s">
        <v>157</v>
      </c>
      <c r="J499" s="29"/>
      <c r="K499" s="29"/>
      <c r="L499" s="29"/>
      <c r="M499" s="29"/>
    </row>
    <row r="500" spans="1:21">
      <c r="A500" s="141">
        <f ca="1">IFERROR(INDIRECT("fixtures!" &amp; Dashboard!J1 &amp;376) - Dashboard!K1/24,"TBC")</f>
        <v>46166.666666666664</v>
      </c>
      <c r="B500" s="92" t="s">
        <v>9</v>
      </c>
      <c r="C500" s="29"/>
      <c r="D500" s="92" t="str">
        <f>IF(ISBLANK(fixtures!$K376),"",fixtures!$K376)</f>
        <v/>
      </c>
      <c r="E500" s="93" t="str">
        <f>IF(ISBLANK(fixtures!$L376),"",":")</f>
        <v/>
      </c>
      <c r="F500" s="94" t="str">
        <f>IF(ISBLANK(fixtures!$L376),"",fixtures!$L376)</f>
        <v/>
      </c>
      <c r="G500" s="29"/>
      <c r="H500" s="94" t="s">
        <v>107</v>
      </c>
      <c r="I500" s="94" t="s">
        <v>40</v>
      </c>
      <c r="J500" s="29"/>
      <c r="K500" s="29"/>
      <c r="L500" s="29"/>
      <c r="M500" s="29"/>
    </row>
    <row r="501" spans="1:21">
      <c r="A501" s="141">
        <f ca="1">IFERROR(INDIRECT("fixtures!" &amp; Dashboard!J1 &amp;377) - Dashboard!K1/24,"TBC")</f>
        <v>46166.666666666664</v>
      </c>
      <c r="B501" s="92" t="s">
        <v>10</v>
      </c>
      <c r="C501" s="29"/>
      <c r="D501" s="92" t="str">
        <f>IF(ISBLANK(fixtures!$K377),"",fixtures!$K377)</f>
        <v/>
      </c>
      <c r="E501" s="93" t="str">
        <f>IF(ISBLANK(fixtures!$L377),"",":")</f>
        <v/>
      </c>
      <c r="F501" s="94" t="str">
        <f>IF(ISBLANK(fixtures!$L377),"",fixtures!$L377)</f>
        <v/>
      </c>
      <c r="G501" s="29"/>
      <c r="H501" s="94" t="s">
        <v>2</v>
      </c>
      <c r="I501" s="94" t="s">
        <v>50</v>
      </c>
      <c r="J501" s="29"/>
      <c r="K501" s="29"/>
      <c r="L501" s="29"/>
      <c r="M501" s="29"/>
    </row>
    <row r="502" spans="1:21">
      <c r="A502" s="141">
        <f ca="1">IFERROR(INDIRECT("fixtures!" &amp; Dashboard!J1 &amp;378) - Dashboard!K1/24,"TBC")</f>
        <v>46166.666666666664</v>
      </c>
      <c r="B502" s="92" t="s">
        <v>188</v>
      </c>
      <c r="C502" s="29"/>
      <c r="D502" s="92" t="str">
        <f>IF(ISBLANK(fixtures!$K378),"",fixtures!$K378)</f>
        <v/>
      </c>
      <c r="E502" s="93" t="str">
        <f>IF(ISBLANK(fixtures!$L378),"",":")</f>
        <v/>
      </c>
      <c r="F502" s="94" t="str">
        <f>IF(ISBLANK(fixtures!$L378),"",fixtures!$L378)</f>
        <v/>
      </c>
      <c r="G502" s="29"/>
      <c r="H502" s="94" t="s">
        <v>3</v>
      </c>
      <c r="I502" s="94" t="s">
        <v>158</v>
      </c>
      <c r="J502" s="29"/>
      <c r="K502" s="29"/>
      <c r="L502" s="29"/>
      <c r="M502" s="29"/>
    </row>
    <row r="503" spans="1:21">
      <c r="A503" s="141">
        <f ca="1">IFERROR(INDIRECT("fixtures!" &amp; Dashboard!J1 &amp;379) - Dashboard!K1/24,"TBC")</f>
        <v>46166.666666666664</v>
      </c>
      <c r="B503" s="92" t="s">
        <v>13</v>
      </c>
      <c r="C503" s="29"/>
      <c r="D503" s="92" t="str">
        <f>IF(ISBLANK(fixtures!$K379),"",fixtures!$K379)</f>
        <v/>
      </c>
      <c r="E503" s="93" t="str">
        <f>IF(ISBLANK(fixtures!$L379),"",":")</f>
        <v/>
      </c>
      <c r="F503" s="94" t="str">
        <f>IF(ISBLANK(fixtures!$L379),"",fixtures!$L379)</f>
        <v/>
      </c>
      <c r="G503" s="29"/>
      <c r="H503" s="94" t="s">
        <v>8</v>
      </c>
      <c r="I503" s="94" t="s">
        <v>45</v>
      </c>
      <c r="J503" s="29"/>
      <c r="K503" s="29"/>
      <c r="L503" s="29"/>
      <c r="M503" s="29"/>
    </row>
    <row r="504" spans="1:21">
      <c r="A504" s="141">
        <f ca="1">IFERROR(INDIRECT("fixtures!" &amp; Dashboard!J1 &amp;380) - Dashboard!K1/24,"TBC")</f>
        <v>46166.666666666664</v>
      </c>
      <c r="B504" s="92" t="s">
        <v>443</v>
      </c>
      <c r="C504" s="29"/>
      <c r="D504" s="92" t="str">
        <f>IF(ISBLANK(fixtures!$K380),"",fixtures!$K380)</f>
        <v/>
      </c>
      <c r="E504" s="93" t="str">
        <f>IF(ISBLANK(fixtures!$L380),"",":")</f>
        <v/>
      </c>
      <c r="F504" s="94" t="str">
        <f>IF(ISBLANK(fixtures!$L380),"",fixtures!$L380)</f>
        <v/>
      </c>
      <c r="G504" s="29"/>
      <c r="H504" s="94" t="s">
        <v>6</v>
      </c>
      <c r="I504" s="94" t="s">
        <v>448</v>
      </c>
      <c r="J504" s="29"/>
      <c r="K504" s="29"/>
      <c r="L504" s="29"/>
      <c r="M504" s="29"/>
    </row>
    <row r="505" spans="1:21">
      <c r="A505" s="141">
        <f ca="1">IFERROR(INDIRECT("fixtures!" &amp; Dashboard!J1 &amp;381) - Dashboard!K1/24,"TBC")</f>
        <v>46166.666666666664</v>
      </c>
      <c r="B505" s="92" t="s">
        <v>14</v>
      </c>
      <c r="C505" s="29"/>
      <c r="D505" s="92" t="str">
        <f>IF(ISBLANK(fixtures!$K381),"",fixtures!$K381)</f>
        <v/>
      </c>
      <c r="E505" s="93" t="str">
        <f>IF(ISBLANK(fixtures!$L381),"",":")</f>
        <v/>
      </c>
      <c r="F505" s="94" t="str">
        <f>IF(ISBLANK(fixtures!$L381),"",fixtures!$L381)</f>
        <v/>
      </c>
      <c r="G505" s="29"/>
      <c r="H505" s="94" t="s">
        <v>444</v>
      </c>
      <c r="I505" s="94" t="s">
        <v>42</v>
      </c>
      <c r="J505" s="29"/>
      <c r="K505" s="29"/>
      <c r="L505" s="29"/>
      <c r="M505" s="29"/>
    </row>
    <row r="506" spans="1:21">
      <c r="A506" s="95" t="str">
        <f>Dashboard!D1 &amp; " Time"</f>
        <v>London Time</v>
      </c>
      <c r="B506" s="29"/>
      <c r="C506" s="29"/>
      <c r="D506" s="29"/>
      <c r="E506" s="29"/>
      <c r="F506" s="29"/>
      <c r="G506" s="29"/>
      <c r="H506" s="29"/>
      <c r="I506" s="299" t="s">
        <v>442</v>
      </c>
      <c r="J506" s="29"/>
      <c r="K506" s="29"/>
      <c r="L506" s="29"/>
      <c r="M506" s="29"/>
    </row>
    <row r="510" spans="1:21">
      <c r="N510" s="319"/>
      <c r="O510" s="319"/>
      <c r="P510" s="319"/>
      <c r="Q510" s="319"/>
      <c r="R510" s="319"/>
      <c r="S510" s="319"/>
      <c r="T510" s="319"/>
      <c r="U510" s="319"/>
    </row>
    <row r="523" spans="14:21">
      <c r="N523" s="319"/>
      <c r="O523" s="319"/>
      <c r="P523" s="319"/>
      <c r="Q523" s="319"/>
      <c r="R523" s="319"/>
      <c r="S523" s="319"/>
      <c r="T523" s="319"/>
      <c r="U523" s="319"/>
    </row>
    <row r="536" spans="14:21">
      <c r="N536" s="319"/>
      <c r="O536" s="319"/>
      <c r="P536" s="319"/>
      <c r="Q536" s="319"/>
      <c r="R536" s="319"/>
      <c r="S536" s="319"/>
      <c r="T536" s="319"/>
      <c r="U536" s="319"/>
    </row>
  </sheetData>
  <sheetProtection algorithmName="SHA-512" hashValue="Q+uT2zZqX/mX/Cdu+cm6/0R6l3sNoMot5wUfrmhGrPwVGmXSXKd9TVMObt8x+2LAnAwMTydk3vkFfkTc7K7V1w==" saltValue="SU93qu6fv5YZ4xUEl3TYjA==" spinCount="100000" sheet="1" objects="1" scenarios="1"/>
  <printOptions horizontalCentered="1"/>
  <pageMargins left="0.7" right="0.7" top="0.75" bottom="0.75" header="0.3" footer="0.3"/>
  <pageSetup scale="45" orientation="portrait" r:id="rId1"/>
  <rowBreaks count="9" manualBreakCount="9">
    <brk id="55" max="12" man="1"/>
    <brk id="107" max="12" man="1"/>
    <brk id="159" max="12" man="1"/>
    <brk id="211" max="12" man="1"/>
    <brk id="263" max="12" man="1"/>
    <brk id="315" max="12" man="1"/>
    <brk id="367" max="12" man="1"/>
    <brk id="419" max="12" man="1"/>
    <brk id="471" max="12" man="1"/>
  </rowBreaks>
  <colBreaks count="1" manualBreakCount="1">
    <brk id="13" max="508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1A3406-36BD-47C9-AAC2-905561FEDB7C}">
  <sheetPr codeName="Sheet2"/>
  <dimension ref="A1:V381"/>
  <sheetViews>
    <sheetView workbookViewId="0">
      <selection activeCell="N28" sqref="N28"/>
    </sheetView>
  </sheetViews>
  <sheetFormatPr defaultRowHeight="15"/>
  <cols>
    <col min="1" max="1" width="12.5703125" bestFit="1" customWidth="1"/>
    <col min="2" max="2" width="13" bestFit="1" customWidth="1"/>
    <col min="3" max="3" width="24.140625" bestFit="1" customWidth="1"/>
    <col min="4" max="4" width="22" bestFit="1" customWidth="1"/>
    <col min="5" max="5" width="22.85546875" bestFit="1" customWidth="1"/>
    <col min="6" max="6" width="20.5703125" bestFit="1" customWidth="1"/>
    <col min="7" max="7" width="23.42578125" bestFit="1" customWidth="1"/>
    <col min="8" max="8" width="28.7109375" bestFit="1" customWidth="1"/>
    <col min="9" max="9" width="26.42578125" bestFit="1" customWidth="1"/>
    <col min="10" max="10" width="13.85546875" bestFit="1" customWidth="1"/>
    <col min="11" max="11" width="13.140625" bestFit="1" customWidth="1"/>
    <col min="12" max="12" width="12.7109375" bestFit="1" customWidth="1"/>
    <col min="13" max="13" width="13.42578125" bestFit="1" customWidth="1"/>
    <col min="14" max="14" width="17.28515625" bestFit="1" customWidth="1"/>
    <col min="15" max="15" width="18.140625" bestFit="1" customWidth="1"/>
    <col min="16" max="16" width="17.28515625" bestFit="1" customWidth="1"/>
    <col min="17" max="17" width="22" bestFit="1" customWidth="1"/>
    <col min="18" max="18" width="21.5703125" bestFit="1" customWidth="1"/>
    <col min="19" max="19" width="18.7109375" bestFit="1" customWidth="1"/>
    <col min="20" max="20" width="17.42578125" bestFit="1" customWidth="1"/>
    <col min="21" max="21" width="11.140625" bestFit="1" customWidth="1"/>
    <col min="22" max="22" width="7.85546875" bestFit="1" customWidth="1"/>
  </cols>
  <sheetData>
    <row r="1" spans="1:22">
      <c r="A1" t="s">
        <v>91</v>
      </c>
      <c r="B1" t="s">
        <v>600</v>
      </c>
      <c r="C1" t="s">
        <v>189</v>
      </c>
      <c r="D1" t="s">
        <v>190</v>
      </c>
      <c r="E1" t="s">
        <v>191</v>
      </c>
      <c r="F1" t="s">
        <v>192</v>
      </c>
      <c r="G1" t="s">
        <v>193</v>
      </c>
      <c r="H1" t="s">
        <v>26</v>
      </c>
      <c r="I1" t="s">
        <v>27</v>
      </c>
      <c r="J1" t="s">
        <v>28</v>
      </c>
      <c r="K1" t="s">
        <v>29</v>
      </c>
      <c r="L1" t="s">
        <v>30</v>
      </c>
      <c r="M1" t="s">
        <v>31</v>
      </c>
      <c r="N1" t="s">
        <v>601</v>
      </c>
      <c r="O1" t="s">
        <v>602</v>
      </c>
      <c r="P1" t="s">
        <v>603</v>
      </c>
      <c r="Q1" t="s">
        <v>604</v>
      </c>
      <c r="R1" t="s">
        <v>605</v>
      </c>
      <c r="S1" t="s">
        <v>32</v>
      </c>
      <c r="T1" t="s">
        <v>33</v>
      </c>
      <c r="U1" t="s">
        <v>34</v>
      </c>
      <c r="V1" t="s">
        <v>606</v>
      </c>
    </row>
    <row r="2" spans="1:22">
      <c r="A2">
        <v>1</v>
      </c>
      <c r="B2" s="111">
        <v>45884</v>
      </c>
      <c r="C2" s="453">
        <v>45884.625</v>
      </c>
      <c r="D2" s="453">
        <v>45884.833333333336</v>
      </c>
      <c r="E2" s="453">
        <v>45884.916666666664</v>
      </c>
      <c r="F2" s="453">
        <v>45884.958333333336</v>
      </c>
      <c r="G2" s="453">
        <v>45885.125</v>
      </c>
      <c r="H2" t="s">
        <v>245</v>
      </c>
      <c r="I2" t="s">
        <v>40</v>
      </c>
      <c r="J2" t="s">
        <v>9</v>
      </c>
      <c r="M2" t="s">
        <v>3</v>
      </c>
      <c r="N2">
        <v>0.69540000000000002</v>
      </c>
      <c r="O2">
        <v>0.16750000000000001</v>
      </c>
      <c r="P2">
        <v>0.1371</v>
      </c>
      <c r="Q2">
        <v>2.5445000000000002</v>
      </c>
      <c r="R2">
        <v>1.0578000000000001</v>
      </c>
      <c r="S2" s="453">
        <v>45827.015972222223</v>
      </c>
      <c r="T2" t="s">
        <v>41</v>
      </c>
      <c r="U2" t="s">
        <v>445</v>
      </c>
      <c r="V2" t="s">
        <v>607</v>
      </c>
    </row>
    <row r="3" spans="1:22">
      <c r="A3">
        <v>1</v>
      </c>
      <c r="B3" s="111">
        <v>45885</v>
      </c>
      <c r="C3" s="453">
        <v>45885.3125</v>
      </c>
      <c r="D3" s="453">
        <v>45885.520833333336</v>
      </c>
      <c r="E3" s="453">
        <v>45885.604166666664</v>
      </c>
      <c r="F3" s="453">
        <v>45885.645833333336</v>
      </c>
      <c r="G3" s="453">
        <v>45885.8125</v>
      </c>
      <c r="H3" t="s">
        <v>400</v>
      </c>
      <c r="I3" t="s">
        <v>49</v>
      </c>
      <c r="J3" t="s">
        <v>2</v>
      </c>
      <c r="M3" t="s">
        <v>12</v>
      </c>
      <c r="N3">
        <v>0.38669999999999999</v>
      </c>
      <c r="O3">
        <v>0.26429999999999998</v>
      </c>
      <c r="P3">
        <v>0.34899999999999998</v>
      </c>
      <c r="Q3">
        <v>1.3349</v>
      </c>
      <c r="R3">
        <v>1.2543</v>
      </c>
      <c r="S3" s="453">
        <v>45827.015972222223</v>
      </c>
      <c r="T3" t="s">
        <v>41</v>
      </c>
      <c r="U3" t="s">
        <v>445</v>
      </c>
      <c r="V3" t="s">
        <v>607</v>
      </c>
    </row>
    <row r="4" spans="1:22">
      <c r="A4">
        <v>1</v>
      </c>
      <c r="B4" s="111">
        <v>45885</v>
      </c>
      <c r="C4" s="453">
        <v>45885.416666666664</v>
      </c>
      <c r="D4" s="453">
        <v>45885.625</v>
      </c>
      <c r="E4" s="453">
        <v>45885.708333333336</v>
      </c>
      <c r="F4" s="453">
        <v>45885.75</v>
      </c>
      <c r="G4" s="453">
        <v>45885.916666666664</v>
      </c>
      <c r="H4" t="s">
        <v>374</v>
      </c>
      <c r="I4" t="s">
        <v>217</v>
      </c>
      <c r="J4" t="s">
        <v>4</v>
      </c>
      <c r="M4" t="s">
        <v>108</v>
      </c>
      <c r="N4">
        <v>0.50570000000000004</v>
      </c>
      <c r="O4">
        <v>0.25590000000000002</v>
      </c>
      <c r="P4">
        <v>0.23830000000000001</v>
      </c>
      <c r="Q4">
        <v>1.5432999999999999</v>
      </c>
      <c r="R4">
        <v>0.97270000000000001</v>
      </c>
      <c r="S4" s="453">
        <v>45827.015972222223</v>
      </c>
      <c r="T4" t="s">
        <v>41</v>
      </c>
      <c r="U4" t="s">
        <v>445</v>
      </c>
      <c r="V4" t="s">
        <v>607</v>
      </c>
    </row>
    <row r="5" spans="1:22">
      <c r="A5">
        <v>1</v>
      </c>
      <c r="B5" s="111">
        <v>45885</v>
      </c>
      <c r="C5" s="453">
        <v>45885.416666666664</v>
      </c>
      <c r="D5" s="453">
        <v>45885.625</v>
      </c>
      <c r="E5" s="453">
        <v>45885.708333333336</v>
      </c>
      <c r="F5" s="453">
        <v>45885.75</v>
      </c>
      <c r="G5" s="453">
        <v>45885.916666666664</v>
      </c>
      <c r="H5" t="s">
        <v>446</v>
      </c>
      <c r="I5" t="s">
        <v>45</v>
      </c>
      <c r="J5" t="s">
        <v>13</v>
      </c>
      <c r="M5" t="s">
        <v>5</v>
      </c>
      <c r="N5">
        <v>0.7087</v>
      </c>
      <c r="O5">
        <v>0.17899999999999999</v>
      </c>
      <c r="P5">
        <v>0.1123</v>
      </c>
      <c r="Q5">
        <v>2.2322000000000002</v>
      </c>
      <c r="R5">
        <v>0.76</v>
      </c>
      <c r="S5" s="453">
        <v>45827.015972222223</v>
      </c>
      <c r="T5" t="s">
        <v>41</v>
      </c>
      <c r="U5" t="s">
        <v>445</v>
      </c>
      <c r="V5" t="s">
        <v>607</v>
      </c>
    </row>
    <row r="6" spans="1:22">
      <c r="A6">
        <v>1</v>
      </c>
      <c r="B6" s="111">
        <v>45885</v>
      </c>
      <c r="C6" s="453">
        <v>45885.416666666664</v>
      </c>
      <c r="D6" s="453">
        <v>45885.625</v>
      </c>
      <c r="E6" s="453">
        <v>45885.708333333336</v>
      </c>
      <c r="F6" s="453">
        <v>45885.75</v>
      </c>
      <c r="G6" s="453">
        <v>45885.916666666664</v>
      </c>
      <c r="H6" t="s">
        <v>447</v>
      </c>
      <c r="I6" t="s">
        <v>448</v>
      </c>
      <c r="J6" t="s">
        <v>443</v>
      </c>
      <c r="M6" t="s">
        <v>14</v>
      </c>
      <c r="N6">
        <v>0.2959</v>
      </c>
      <c r="O6">
        <v>0.27629999999999999</v>
      </c>
      <c r="P6">
        <v>0.42780000000000001</v>
      </c>
      <c r="Q6">
        <v>1.0432999999999999</v>
      </c>
      <c r="R6">
        <v>1.3142</v>
      </c>
      <c r="S6" s="453">
        <v>45827.015972222223</v>
      </c>
      <c r="T6" t="s">
        <v>41</v>
      </c>
      <c r="U6" t="s">
        <v>445</v>
      </c>
      <c r="V6" t="s">
        <v>607</v>
      </c>
    </row>
    <row r="7" spans="1:22">
      <c r="A7">
        <v>1</v>
      </c>
      <c r="B7" s="111">
        <v>45885</v>
      </c>
      <c r="C7" s="453">
        <v>45885.520833333336</v>
      </c>
      <c r="D7" s="453">
        <v>45885.729166666664</v>
      </c>
      <c r="E7" s="453">
        <v>45885.8125</v>
      </c>
      <c r="F7" s="453">
        <v>45885.854166666664</v>
      </c>
      <c r="G7" s="453">
        <v>45886.020833333336</v>
      </c>
      <c r="H7" t="s">
        <v>266</v>
      </c>
      <c r="I7" t="s">
        <v>52</v>
      </c>
      <c r="J7" t="s">
        <v>15</v>
      </c>
      <c r="M7" t="s">
        <v>10</v>
      </c>
      <c r="N7">
        <v>0.1724</v>
      </c>
      <c r="O7">
        <v>0.2092</v>
      </c>
      <c r="P7">
        <v>0.61829999999999996</v>
      </c>
      <c r="Q7">
        <v>0.95960000000000001</v>
      </c>
      <c r="R7">
        <v>2.0139999999999998</v>
      </c>
      <c r="S7" s="453">
        <v>45827.015972222223</v>
      </c>
      <c r="T7" t="s">
        <v>41</v>
      </c>
      <c r="U7" t="s">
        <v>445</v>
      </c>
      <c r="V7" t="s">
        <v>607</v>
      </c>
    </row>
    <row r="8" spans="1:22">
      <c r="A8">
        <v>1</v>
      </c>
      <c r="B8" s="111">
        <v>45886</v>
      </c>
      <c r="C8" s="453">
        <v>45886.375</v>
      </c>
      <c r="D8" s="453">
        <v>45886.583333333336</v>
      </c>
      <c r="E8" s="453">
        <v>45886.666666666664</v>
      </c>
      <c r="F8" s="453">
        <v>45886.708333333336</v>
      </c>
      <c r="G8" s="453">
        <v>45886.875</v>
      </c>
      <c r="H8" t="s">
        <v>112</v>
      </c>
      <c r="I8" t="s">
        <v>51</v>
      </c>
      <c r="J8" t="s">
        <v>6</v>
      </c>
      <c r="M8" t="s">
        <v>7</v>
      </c>
      <c r="N8">
        <v>0.6139</v>
      </c>
      <c r="O8">
        <v>0.215</v>
      </c>
      <c r="P8">
        <v>0.1711</v>
      </c>
      <c r="Q8">
        <v>1.9403999999999999</v>
      </c>
      <c r="R8">
        <v>0.9133</v>
      </c>
      <c r="S8" s="453">
        <v>45827.015972222223</v>
      </c>
      <c r="T8" t="s">
        <v>41</v>
      </c>
      <c r="U8" t="s">
        <v>445</v>
      </c>
      <c r="V8" t="s">
        <v>607</v>
      </c>
    </row>
    <row r="9" spans="1:22">
      <c r="A9">
        <v>1</v>
      </c>
      <c r="B9" s="111">
        <v>45886</v>
      </c>
      <c r="C9" s="453">
        <v>45886.375</v>
      </c>
      <c r="D9" s="453">
        <v>45886.583333333336</v>
      </c>
      <c r="E9" s="453">
        <v>45886.666666666664</v>
      </c>
      <c r="F9" s="453">
        <v>45886.708333333336</v>
      </c>
      <c r="G9" s="453">
        <v>45886.875</v>
      </c>
      <c r="H9" t="s">
        <v>410</v>
      </c>
      <c r="I9" t="s">
        <v>158</v>
      </c>
      <c r="J9" t="s">
        <v>188</v>
      </c>
      <c r="M9" t="s">
        <v>107</v>
      </c>
      <c r="N9">
        <v>0.43359999999999999</v>
      </c>
      <c r="O9">
        <v>0.26479999999999998</v>
      </c>
      <c r="P9">
        <v>0.30159999999999998</v>
      </c>
      <c r="Q9">
        <v>1.4066000000000001</v>
      </c>
      <c r="R9">
        <v>1.1272</v>
      </c>
      <c r="S9" s="453">
        <v>45833.010416666664</v>
      </c>
      <c r="T9" t="s">
        <v>41</v>
      </c>
      <c r="U9" t="s">
        <v>445</v>
      </c>
      <c r="V9" t="s">
        <v>607</v>
      </c>
    </row>
    <row r="10" spans="1:22">
      <c r="A10">
        <v>1</v>
      </c>
      <c r="B10" s="111">
        <v>45886</v>
      </c>
      <c r="C10" s="453">
        <v>45886.479166666664</v>
      </c>
      <c r="D10" s="453">
        <v>45886.6875</v>
      </c>
      <c r="E10" s="453">
        <v>45886.770833333336</v>
      </c>
      <c r="F10" s="453">
        <v>45886.8125</v>
      </c>
      <c r="G10" s="453">
        <v>45886.979166666664</v>
      </c>
      <c r="H10" t="s">
        <v>375</v>
      </c>
      <c r="I10" t="s">
        <v>47</v>
      </c>
      <c r="J10" t="s">
        <v>11</v>
      </c>
      <c r="M10" t="s">
        <v>1</v>
      </c>
      <c r="N10">
        <v>0.2954</v>
      </c>
      <c r="O10">
        <v>0.27210000000000001</v>
      </c>
      <c r="P10">
        <v>0.4325</v>
      </c>
      <c r="Q10">
        <v>1.0658000000000001</v>
      </c>
      <c r="R10">
        <v>1.3502000000000001</v>
      </c>
      <c r="S10" s="453">
        <v>45827.015972222223</v>
      </c>
      <c r="T10" t="s">
        <v>41</v>
      </c>
      <c r="U10" t="s">
        <v>445</v>
      </c>
      <c r="V10" t="s">
        <v>607</v>
      </c>
    </row>
    <row r="11" spans="1:22">
      <c r="A11">
        <v>1</v>
      </c>
      <c r="B11" s="111">
        <v>45887</v>
      </c>
      <c r="C11" s="453">
        <v>45887.625</v>
      </c>
      <c r="D11" s="453">
        <v>45887.833333333336</v>
      </c>
      <c r="E11" s="453">
        <v>45887.916666666664</v>
      </c>
      <c r="F11" s="453">
        <v>45887.958333333336</v>
      </c>
      <c r="G11" s="453">
        <v>45888.125</v>
      </c>
      <c r="H11" t="s">
        <v>514</v>
      </c>
      <c r="I11" t="s">
        <v>449</v>
      </c>
      <c r="J11" t="s">
        <v>444</v>
      </c>
      <c r="M11" t="s">
        <v>8</v>
      </c>
      <c r="N11">
        <v>0.35659999999999997</v>
      </c>
      <c r="O11">
        <v>0.28689999999999999</v>
      </c>
      <c r="P11">
        <v>0.35659999999999997</v>
      </c>
      <c r="Q11">
        <v>1.1286</v>
      </c>
      <c r="R11">
        <v>1.1286</v>
      </c>
      <c r="S11" s="453">
        <v>45827.015972222223</v>
      </c>
      <c r="T11" t="s">
        <v>41</v>
      </c>
      <c r="U11" t="s">
        <v>445</v>
      </c>
      <c r="V11" t="s">
        <v>607</v>
      </c>
    </row>
    <row r="12" spans="1:22">
      <c r="A12">
        <v>2</v>
      </c>
      <c r="B12" s="111">
        <v>45891</v>
      </c>
      <c r="C12" s="453">
        <v>45891.625</v>
      </c>
      <c r="D12" s="453">
        <v>45891.833333333336</v>
      </c>
      <c r="E12" s="453">
        <v>45891.916666666664</v>
      </c>
      <c r="F12" s="453">
        <v>45891.958333333336</v>
      </c>
      <c r="G12" s="453">
        <v>45892.125</v>
      </c>
      <c r="H12" t="s">
        <v>242</v>
      </c>
      <c r="I12" t="s">
        <v>42</v>
      </c>
      <c r="J12" t="s">
        <v>14</v>
      </c>
      <c r="M12" t="s">
        <v>6</v>
      </c>
      <c r="N12">
        <v>0</v>
      </c>
      <c r="O12">
        <v>0</v>
      </c>
      <c r="P12">
        <v>0</v>
      </c>
      <c r="Q12">
        <v>0</v>
      </c>
      <c r="R12">
        <v>0</v>
      </c>
      <c r="S12" s="453">
        <v>45848.009722222225</v>
      </c>
      <c r="T12" t="s">
        <v>41</v>
      </c>
      <c r="U12" t="s">
        <v>445</v>
      </c>
      <c r="V12" t="s">
        <v>607</v>
      </c>
    </row>
    <row r="13" spans="1:22">
      <c r="A13">
        <v>2</v>
      </c>
      <c r="B13" s="111">
        <v>45892</v>
      </c>
      <c r="C13" s="453">
        <v>45892.3125</v>
      </c>
      <c r="D13" s="453">
        <v>45892.520833333336</v>
      </c>
      <c r="E13" s="453">
        <v>45892.604166666664</v>
      </c>
      <c r="F13" s="453">
        <v>45892.645833333336</v>
      </c>
      <c r="G13" s="453">
        <v>45892.8125</v>
      </c>
      <c r="H13" t="s">
        <v>287</v>
      </c>
      <c r="I13" t="s">
        <v>50</v>
      </c>
      <c r="J13" t="s">
        <v>10</v>
      </c>
      <c r="M13" t="s">
        <v>13</v>
      </c>
      <c r="N13">
        <v>0</v>
      </c>
      <c r="O13">
        <v>0</v>
      </c>
      <c r="P13">
        <v>0</v>
      </c>
      <c r="Q13">
        <v>0</v>
      </c>
      <c r="R13">
        <v>0</v>
      </c>
      <c r="S13" s="453">
        <v>45848.009722222225</v>
      </c>
      <c r="T13" t="s">
        <v>41</v>
      </c>
      <c r="U13" t="s">
        <v>445</v>
      </c>
      <c r="V13" t="s">
        <v>607</v>
      </c>
    </row>
    <row r="14" spans="1:22">
      <c r="A14">
        <v>2</v>
      </c>
      <c r="B14" s="111">
        <v>45892</v>
      </c>
      <c r="C14" s="453">
        <v>45892.416666666664</v>
      </c>
      <c r="D14" s="453">
        <v>45892.625</v>
      </c>
      <c r="E14" s="453">
        <v>45892.708333333336</v>
      </c>
      <c r="F14" s="453">
        <v>45892.75</v>
      </c>
      <c r="G14" s="453">
        <v>45892.916666666664</v>
      </c>
      <c r="H14" t="s">
        <v>365</v>
      </c>
      <c r="I14" t="s">
        <v>43</v>
      </c>
      <c r="J14" t="s">
        <v>3</v>
      </c>
      <c r="M14" t="s">
        <v>15</v>
      </c>
      <c r="N14">
        <v>0</v>
      </c>
      <c r="O14">
        <v>0</v>
      </c>
      <c r="P14">
        <v>0</v>
      </c>
      <c r="Q14">
        <v>0</v>
      </c>
      <c r="R14">
        <v>0</v>
      </c>
      <c r="S14" s="453">
        <v>45827.015972222223</v>
      </c>
      <c r="T14" t="s">
        <v>41</v>
      </c>
      <c r="U14" t="s">
        <v>445</v>
      </c>
      <c r="V14" t="s">
        <v>607</v>
      </c>
    </row>
    <row r="15" spans="1:22">
      <c r="A15">
        <v>2</v>
      </c>
      <c r="B15" s="111">
        <v>45892</v>
      </c>
      <c r="C15" s="453">
        <v>45892.416666666664</v>
      </c>
      <c r="D15" s="453">
        <v>45892.625</v>
      </c>
      <c r="E15" s="453">
        <v>45892.708333333336</v>
      </c>
      <c r="F15" s="453">
        <v>45892.75</v>
      </c>
      <c r="G15" s="453">
        <v>45892.916666666664</v>
      </c>
      <c r="H15" t="s">
        <v>133</v>
      </c>
      <c r="I15" t="s">
        <v>172</v>
      </c>
      <c r="J15" t="s">
        <v>107</v>
      </c>
      <c r="M15" t="s">
        <v>2</v>
      </c>
      <c r="N15">
        <v>0</v>
      </c>
      <c r="O15">
        <v>0</v>
      </c>
      <c r="P15">
        <v>0</v>
      </c>
      <c r="Q15">
        <v>0</v>
      </c>
      <c r="R15">
        <v>0</v>
      </c>
      <c r="S15" s="453">
        <v>45827.015972222223</v>
      </c>
      <c r="T15" t="s">
        <v>41</v>
      </c>
      <c r="U15" t="s">
        <v>445</v>
      </c>
      <c r="V15" t="s">
        <v>607</v>
      </c>
    </row>
    <row r="16" spans="1:22">
      <c r="A16">
        <v>2</v>
      </c>
      <c r="B16" s="111">
        <v>45892</v>
      </c>
      <c r="C16" s="453">
        <v>45892.416666666664</v>
      </c>
      <c r="D16" s="453">
        <v>45892.625</v>
      </c>
      <c r="E16" s="453">
        <v>45892.708333333336</v>
      </c>
      <c r="F16" s="453">
        <v>45892.75</v>
      </c>
      <c r="G16" s="453">
        <v>45892.916666666664</v>
      </c>
      <c r="H16" t="s">
        <v>450</v>
      </c>
      <c r="I16" t="s">
        <v>451</v>
      </c>
      <c r="J16" t="s">
        <v>5</v>
      </c>
      <c r="M16" t="s">
        <v>443</v>
      </c>
      <c r="N16">
        <v>0</v>
      </c>
      <c r="O16">
        <v>0</v>
      </c>
      <c r="P16">
        <v>0</v>
      </c>
      <c r="Q16">
        <v>0</v>
      </c>
      <c r="R16">
        <v>0</v>
      </c>
      <c r="S16" s="453">
        <v>45827.015972222223</v>
      </c>
      <c r="T16" t="s">
        <v>41</v>
      </c>
      <c r="U16" t="s">
        <v>445</v>
      </c>
      <c r="V16" t="s">
        <v>607</v>
      </c>
    </row>
    <row r="17" spans="1:22">
      <c r="A17">
        <v>2</v>
      </c>
      <c r="B17" s="111">
        <v>45892</v>
      </c>
      <c r="C17" s="453">
        <v>45892.520833333336</v>
      </c>
      <c r="D17" s="453">
        <v>45892.729166666664</v>
      </c>
      <c r="E17" s="453">
        <v>45892.8125</v>
      </c>
      <c r="F17" s="453">
        <v>45892.854166666664</v>
      </c>
      <c r="G17" s="453">
        <v>45893.020833333336</v>
      </c>
      <c r="H17" t="s">
        <v>515</v>
      </c>
      <c r="I17" t="s">
        <v>48</v>
      </c>
      <c r="J17" t="s">
        <v>1</v>
      </c>
      <c r="M17" t="s">
        <v>444</v>
      </c>
      <c r="N17">
        <v>0</v>
      </c>
      <c r="O17">
        <v>0</v>
      </c>
      <c r="P17">
        <v>0</v>
      </c>
      <c r="Q17">
        <v>0</v>
      </c>
      <c r="R17">
        <v>0</v>
      </c>
      <c r="S17" s="453">
        <v>45848.009722222225</v>
      </c>
      <c r="T17" t="s">
        <v>41</v>
      </c>
      <c r="U17" t="s">
        <v>445</v>
      </c>
      <c r="V17" t="s">
        <v>607</v>
      </c>
    </row>
    <row r="18" spans="1:22">
      <c r="A18">
        <v>2</v>
      </c>
      <c r="B18" s="111">
        <v>45893</v>
      </c>
      <c r="C18" s="453">
        <v>45893.375</v>
      </c>
      <c r="D18" s="453">
        <v>45893.583333333336</v>
      </c>
      <c r="E18" s="453">
        <v>45893.666666666664</v>
      </c>
      <c r="F18" s="453">
        <v>45893.708333333336</v>
      </c>
      <c r="G18" s="453">
        <v>45893.875</v>
      </c>
      <c r="H18" t="s">
        <v>414</v>
      </c>
      <c r="I18" t="s">
        <v>44</v>
      </c>
      <c r="J18" t="s">
        <v>7</v>
      </c>
      <c r="M18" t="s">
        <v>188</v>
      </c>
      <c r="N18">
        <v>0</v>
      </c>
      <c r="O18">
        <v>0</v>
      </c>
      <c r="P18">
        <v>0</v>
      </c>
      <c r="Q18">
        <v>0</v>
      </c>
      <c r="R18">
        <v>0</v>
      </c>
      <c r="S18" s="453">
        <v>45848.009722222225</v>
      </c>
      <c r="T18" t="s">
        <v>41</v>
      </c>
      <c r="U18" t="s">
        <v>445</v>
      </c>
      <c r="V18" t="s">
        <v>607</v>
      </c>
    </row>
    <row r="19" spans="1:22">
      <c r="A19">
        <v>2</v>
      </c>
      <c r="B19" s="111">
        <v>45893</v>
      </c>
      <c r="C19" s="453">
        <v>45893.375</v>
      </c>
      <c r="D19" s="453">
        <v>45893.583333333336</v>
      </c>
      <c r="E19" s="453">
        <v>45893.666666666664</v>
      </c>
      <c r="F19" s="453">
        <v>45893.708333333336</v>
      </c>
      <c r="G19" s="453">
        <v>45893.875</v>
      </c>
      <c r="H19" t="s">
        <v>221</v>
      </c>
      <c r="I19" t="s">
        <v>452</v>
      </c>
      <c r="J19" t="s">
        <v>8</v>
      </c>
      <c r="M19" t="s">
        <v>4</v>
      </c>
      <c r="N19">
        <v>0</v>
      </c>
      <c r="O19">
        <v>0</v>
      </c>
      <c r="P19">
        <v>0</v>
      </c>
      <c r="Q19">
        <v>0</v>
      </c>
      <c r="R19">
        <v>0</v>
      </c>
      <c r="S19" s="453">
        <v>45848.009722222225</v>
      </c>
      <c r="T19" t="s">
        <v>41</v>
      </c>
      <c r="U19" t="s">
        <v>445</v>
      </c>
      <c r="V19" t="s">
        <v>607</v>
      </c>
    </row>
    <row r="20" spans="1:22">
      <c r="A20">
        <v>2</v>
      </c>
      <c r="B20" s="111">
        <v>45893</v>
      </c>
      <c r="C20" s="453">
        <v>45893.479166666664</v>
      </c>
      <c r="D20" s="453">
        <v>45893.6875</v>
      </c>
      <c r="E20" s="453">
        <v>45893.770833333336</v>
      </c>
      <c r="F20" s="453">
        <v>45893.8125</v>
      </c>
      <c r="G20" s="453">
        <v>45893.979166666664</v>
      </c>
      <c r="H20" t="s">
        <v>349</v>
      </c>
      <c r="I20" t="s">
        <v>157</v>
      </c>
      <c r="J20" t="s">
        <v>108</v>
      </c>
      <c r="M20" t="s">
        <v>11</v>
      </c>
      <c r="N20">
        <v>0</v>
      </c>
      <c r="O20">
        <v>0</v>
      </c>
      <c r="P20">
        <v>0</v>
      </c>
      <c r="Q20">
        <v>0</v>
      </c>
      <c r="R20">
        <v>0</v>
      </c>
      <c r="S20" s="453">
        <v>45848.009722222225</v>
      </c>
      <c r="T20" t="s">
        <v>41</v>
      </c>
      <c r="U20" t="s">
        <v>445</v>
      </c>
      <c r="V20" t="s">
        <v>607</v>
      </c>
    </row>
    <row r="21" spans="1:22">
      <c r="A21">
        <v>2</v>
      </c>
      <c r="B21" s="111">
        <v>45894</v>
      </c>
      <c r="C21" s="453">
        <v>45894.625</v>
      </c>
      <c r="D21" s="453">
        <v>45894.833333333336</v>
      </c>
      <c r="E21" s="453">
        <v>45894.916666666664</v>
      </c>
      <c r="F21" s="453">
        <v>45894.958333333336</v>
      </c>
      <c r="G21" s="453">
        <v>45895.125</v>
      </c>
      <c r="H21" t="s">
        <v>297</v>
      </c>
      <c r="I21" t="s">
        <v>46</v>
      </c>
      <c r="J21" t="s">
        <v>12</v>
      </c>
      <c r="M21" t="s">
        <v>9</v>
      </c>
      <c r="N21">
        <v>0</v>
      </c>
      <c r="O21">
        <v>0</v>
      </c>
      <c r="P21">
        <v>0</v>
      </c>
      <c r="Q21">
        <v>0</v>
      </c>
      <c r="R21">
        <v>0</v>
      </c>
      <c r="S21" s="453">
        <v>45848.009722222225</v>
      </c>
      <c r="T21" t="s">
        <v>41</v>
      </c>
      <c r="U21" t="s">
        <v>445</v>
      </c>
      <c r="V21" t="s">
        <v>607</v>
      </c>
    </row>
    <row r="22" spans="1:22">
      <c r="A22">
        <v>3</v>
      </c>
      <c r="B22" s="111">
        <v>45898</v>
      </c>
      <c r="C22" s="453">
        <v>45898.625</v>
      </c>
      <c r="D22" s="453">
        <v>45898.833333333336</v>
      </c>
      <c r="E22" s="453">
        <v>45898.916666666664</v>
      </c>
      <c r="F22" s="453">
        <v>45898.958333333336</v>
      </c>
      <c r="G22" s="453">
        <v>45899.125</v>
      </c>
      <c r="H22" t="s">
        <v>150</v>
      </c>
      <c r="I22" t="s">
        <v>49</v>
      </c>
      <c r="J22" t="s">
        <v>2</v>
      </c>
      <c r="M22" t="s">
        <v>7</v>
      </c>
      <c r="N22">
        <v>0</v>
      </c>
      <c r="O22">
        <v>0</v>
      </c>
      <c r="P22">
        <v>0</v>
      </c>
      <c r="Q22">
        <v>0</v>
      </c>
      <c r="R22">
        <v>0</v>
      </c>
      <c r="S22" s="453">
        <v>45848.009722222225</v>
      </c>
      <c r="T22" t="s">
        <v>41</v>
      </c>
      <c r="U22" t="s">
        <v>445</v>
      </c>
      <c r="V22" t="s">
        <v>607</v>
      </c>
    </row>
    <row r="23" spans="1:22">
      <c r="A23">
        <v>3</v>
      </c>
      <c r="B23" s="111">
        <v>45899</v>
      </c>
      <c r="C23" s="453">
        <v>45899.3125</v>
      </c>
      <c r="D23" s="453">
        <v>45899.520833333336</v>
      </c>
      <c r="E23" s="453">
        <v>45899.604166666664</v>
      </c>
      <c r="F23" s="453">
        <v>45899.645833333336</v>
      </c>
      <c r="G23" s="453">
        <v>45899.8125</v>
      </c>
      <c r="H23" t="s">
        <v>165</v>
      </c>
      <c r="I23" t="s">
        <v>51</v>
      </c>
      <c r="J23" t="s">
        <v>6</v>
      </c>
      <c r="M23" t="s">
        <v>108</v>
      </c>
      <c r="N23">
        <v>0</v>
      </c>
      <c r="O23">
        <v>0</v>
      </c>
      <c r="P23">
        <v>0</v>
      </c>
      <c r="Q23">
        <v>0</v>
      </c>
      <c r="R23">
        <v>0</v>
      </c>
      <c r="S23" s="453">
        <v>45848.009722222225</v>
      </c>
      <c r="T23" t="s">
        <v>41</v>
      </c>
      <c r="U23" t="s">
        <v>445</v>
      </c>
      <c r="V23" t="s">
        <v>607</v>
      </c>
    </row>
    <row r="24" spans="1:22">
      <c r="A24">
        <v>3</v>
      </c>
      <c r="B24" s="111">
        <v>45899</v>
      </c>
      <c r="C24" s="453">
        <v>45899.416666666664</v>
      </c>
      <c r="D24" s="453">
        <v>45899.625</v>
      </c>
      <c r="E24" s="453">
        <v>45899.708333333336</v>
      </c>
      <c r="F24" s="453">
        <v>45899.75</v>
      </c>
      <c r="G24" s="453">
        <v>45899.916666666664</v>
      </c>
      <c r="H24" t="s">
        <v>453</v>
      </c>
      <c r="I24" t="s">
        <v>47</v>
      </c>
      <c r="J24" t="s">
        <v>11</v>
      </c>
      <c r="M24" t="s">
        <v>5</v>
      </c>
      <c r="N24">
        <v>0</v>
      </c>
      <c r="O24">
        <v>0</v>
      </c>
      <c r="P24">
        <v>0</v>
      </c>
      <c r="Q24">
        <v>0</v>
      </c>
      <c r="R24">
        <v>0</v>
      </c>
      <c r="S24" s="453">
        <v>45827.015972222223</v>
      </c>
      <c r="T24" t="s">
        <v>41</v>
      </c>
      <c r="U24" t="s">
        <v>445</v>
      </c>
      <c r="V24" t="s">
        <v>607</v>
      </c>
    </row>
    <row r="25" spans="1:22">
      <c r="A25">
        <v>3</v>
      </c>
      <c r="B25" s="111">
        <v>45899</v>
      </c>
      <c r="C25" s="453">
        <v>45899.416666666664</v>
      </c>
      <c r="D25" s="453">
        <v>45899.625</v>
      </c>
      <c r="E25" s="453">
        <v>45899.708333333336</v>
      </c>
      <c r="F25" s="453">
        <v>45899.75</v>
      </c>
      <c r="G25" s="453">
        <v>45899.916666666664</v>
      </c>
      <c r="H25" t="s">
        <v>377</v>
      </c>
      <c r="I25" t="s">
        <v>45</v>
      </c>
      <c r="J25" t="s">
        <v>13</v>
      </c>
      <c r="M25" t="s">
        <v>3</v>
      </c>
      <c r="N25">
        <v>0</v>
      </c>
      <c r="O25">
        <v>0</v>
      </c>
      <c r="P25">
        <v>0</v>
      </c>
      <c r="Q25">
        <v>0</v>
      </c>
      <c r="R25">
        <v>0</v>
      </c>
      <c r="S25" s="453">
        <v>45827.015972222223</v>
      </c>
      <c r="T25" t="s">
        <v>41</v>
      </c>
      <c r="U25" t="s">
        <v>445</v>
      </c>
      <c r="V25" t="s">
        <v>607</v>
      </c>
    </row>
    <row r="26" spans="1:22">
      <c r="A26">
        <v>3</v>
      </c>
      <c r="B26" s="111">
        <v>45899</v>
      </c>
      <c r="C26" s="453">
        <v>45899.416666666664</v>
      </c>
      <c r="D26" s="453">
        <v>45899.625</v>
      </c>
      <c r="E26" s="453">
        <v>45899.708333333336</v>
      </c>
      <c r="F26" s="453">
        <v>45899.75</v>
      </c>
      <c r="G26" s="453">
        <v>45899.916666666664</v>
      </c>
      <c r="H26" t="s">
        <v>454</v>
      </c>
      <c r="I26" t="s">
        <v>448</v>
      </c>
      <c r="J26" t="s">
        <v>443</v>
      </c>
      <c r="M26" t="s">
        <v>107</v>
      </c>
      <c r="N26">
        <v>0</v>
      </c>
      <c r="O26">
        <v>0</v>
      </c>
      <c r="P26">
        <v>0</v>
      </c>
      <c r="Q26">
        <v>0</v>
      </c>
      <c r="R26">
        <v>0</v>
      </c>
      <c r="S26" s="453">
        <v>45827.015972222223</v>
      </c>
      <c r="T26" t="s">
        <v>41</v>
      </c>
      <c r="U26" t="s">
        <v>445</v>
      </c>
      <c r="V26" t="s">
        <v>607</v>
      </c>
    </row>
    <row r="27" spans="1:22">
      <c r="A27">
        <v>3</v>
      </c>
      <c r="B27" s="111">
        <v>45899</v>
      </c>
      <c r="C27" s="453">
        <v>45899.416666666664</v>
      </c>
      <c r="D27" s="453">
        <v>45899.625</v>
      </c>
      <c r="E27" s="453">
        <v>45899.708333333336</v>
      </c>
      <c r="F27" s="453">
        <v>45899.75</v>
      </c>
      <c r="G27" s="453">
        <v>45899.916666666664</v>
      </c>
      <c r="H27" t="s">
        <v>379</v>
      </c>
      <c r="I27" t="s">
        <v>52</v>
      </c>
      <c r="J27" t="s">
        <v>15</v>
      </c>
      <c r="M27" t="s">
        <v>8</v>
      </c>
      <c r="N27">
        <v>0</v>
      </c>
      <c r="O27">
        <v>0</v>
      </c>
      <c r="P27">
        <v>0</v>
      </c>
      <c r="Q27">
        <v>0</v>
      </c>
      <c r="R27">
        <v>0</v>
      </c>
      <c r="S27" s="453">
        <v>45827.015972222223</v>
      </c>
      <c r="T27" t="s">
        <v>41</v>
      </c>
      <c r="U27" t="s">
        <v>445</v>
      </c>
      <c r="V27" t="s">
        <v>607</v>
      </c>
    </row>
    <row r="28" spans="1:22">
      <c r="A28">
        <v>3</v>
      </c>
      <c r="B28" s="111">
        <v>45899</v>
      </c>
      <c r="C28" s="453">
        <v>45899.520833333336</v>
      </c>
      <c r="D28" s="453">
        <v>45899.729166666664</v>
      </c>
      <c r="E28" s="453">
        <v>45899.8125</v>
      </c>
      <c r="F28" s="453">
        <v>45899.854166666664</v>
      </c>
      <c r="G28" s="453">
        <v>45900.020833333336</v>
      </c>
      <c r="H28" t="s">
        <v>516</v>
      </c>
      <c r="I28" t="s">
        <v>449</v>
      </c>
      <c r="J28" t="s">
        <v>444</v>
      </c>
      <c r="M28" t="s">
        <v>12</v>
      </c>
      <c r="N28">
        <v>0</v>
      </c>
      <c r="O28">
        <v>0</v>
      </c>
      <c r="P28">
        <v>0</v>
      </c>
      <c r="Q28">
        <v>0</v>
      </c>
      <c r="R28">
        <v>0</v>
      </c>
      <c r="S28" s="453">
        <v>45848.009722222225</v>
      </c>
      <c r="T28" t="s">
        <v>41</v>
      </c>
      <c r="U28" t="s">
        <v>445</v>
      </c>
      <c r="V28" t="s">
        <v>607</v>
      </c>
    </row>
    <row r="29" spans="1:22">
      <c r="A29">
        <v>3</v>
      </c>
      <c r="B29" s="111">
        <v>45900</v>
      </c>
      <c r="C29" s="453">
        <v>45900.375</v>
      </c>
      <c r="D29" s="453">
        <v>45900.583333333336</v>
      </c>
      <c r="E29" s="453">
        <v>45900.666666666664</v>
      </c>
      <c r="F29" s="453">
        <v>45900.708333333336</v>
      </c>
      <c r="G29" s="453">
        <v>45900.875</v>
      </c>
      <c r="H29" t="s">
        <v>282</v>
      </c>
      <c r="I29" t="s">
        <v>217</v>
      </c>
      <c r="J29" t="s">
        <v>4</v>
      </c>
      <c r="M29" t="s">
        <v>10</v>
      </c>
      <c r="N29">
        <v>0</v>
      </c>
      <c r="O29">
        <v>0</v>
      </c>
      <c r="P29">
        <v>0</v>
      </c>
      <c r="Q29">
        <v>0</v>
      </c>
      <c r="R29">
        <v>0</v>
      </c>
      <c r="S29" s="453">
        <v>45848.010416666664</v>
      </c>
      <c r="T29" t="s">
        <v>41</v>
      </c>
      <c r="U29" t="s">
        <v>445</v>
      </c>
      <c r="V29" t="s">
        <v>607</v>
      </c>
    </row>
    <row r="30" spans="1:22">
      <c r="A30">
        <v>3</v>
      </c>
      <c r="B30" s="111">
        <v>45900</v>
      </c>
      <c r="C30" s="453">
        <v>45900.375</v>
      </c>
      <c r="D30" s="453">
        <v>45900.583333333336</v>
      </c>
      <c r="E30" s="453">
        <v>45900.666666666664</v>
      </c>
      <c r="F30" s="453">
        <v>45900.708333333336</v>
      </c>
      <c r="G30" s="453">
        <v>45900.875</v>
      </c>
      <c r="H30" t="s">
        <v>276</v>
      </c>
      <c r="I30" t="s">
        <v>158</v>
      </c>
      <c r="J30" t="s">
        <v>188</v>
      </c>
      <c r="M30" t="s">
        <v>14</v>
      </c>
      <c r="N30">
        <v>0</v>
      </c>
      <c r="O30">
        <v>0</v>
      </c>
      <c r="P30">
        <v>0</v>
      </c>
      <c r="Q30">
        <v>0</v>
      </c>
      <c r="R30">
        <v>0</v>
      </c>
      <c r="S30" s="453">
        <v>45848.010416666664</v>
      </c>
      <c r="T30" t="s">
        <v>41</v>
      </c>
      <c r="U30" t="s">
        <v>445</v>
      </c>
      <c r="V30" t="s">
        <v>607</v>
      </c>
    </row>
    <row r="31" spans="1:22">
      <c r="A31">
        <v>3</v>
      </c>
      <c r="B31" s="111">
        <v>45900</v>
      </c>
      <c r="C31" s="453">
        <v>45900.479166666664</v>
      </c>
      <c r="D31" s="453">
        <v>45900.6875</v>
      </c>
      <c r="E31" s="453">
        <v>45900.770833333336</v>
      </c>
      <c r="F31" s="453">
        <v>45900.8125</v>
      </c>
      <c r="G31" s="453">
        <v>45900.979166666664</v>
      </c>
      <c r="H31" t="s">
        <v>124</v>
      </c>
      <c r="I31" t="s">
        <v>40</v>
      </c>
      <c r="J31" t="s">
        <v>9</v>
      </c>
      <c r="M31" t="s">
        <v>1</v>
      </c>
      <c r="N31">
        <v>0</v>
      </c>
      <c r="O31">
        <v>0</v>
      </c>
      <c r="P31">
        <v>0</v>
      </c>
      <c r="Q31">
        <v>0</v>
      </c>
      <c r="R31">
        <v>0</v>
      </c>
      <c r="S31" s="453">
        <v>45848.010416666664</v>
      </c>
      <c r="T31" t="s">
        <v>41</v>
      </c>
      <c r="U31" t="s">
        <v>445</v>
      </c>
      <c r="V31" t="s">
        <v>607</v>
      </c>
    </row>
    <row r="32" spans="1:22">
      <c r="A32">
        <v>4</v>
      </c>
      <c r="B32" s="111">
        <v>45913</v>
      </c>
      <c r="C32" s="453">
        <v>45913.3125</v>
      </c>
      <c r="D32" s="453">
        <v>45913.520833333336</v>
      </c>
      <c r="E32" s="453">
        <v>45913.604166666664</v>
      </c>
      <c r="F32" s="453">
        <v>45913.645833333336</v>
      </c>
      <c r="G32" s="453">
        <v>45913.8125</v>
      </c>
      <c r="H32" t="s">
        <v>284</v>
      </c>
      <c r="I32" t="s">
        <v>48</v>
      </c>
      <c r="J32" t="s">
        <v>1</v>
      </c>
      <c r="M32" t="s">
        <v>188</v>
      </c>
      <c r="N32">
        <v>0</v>
      </c>
      <c r="O32">
        <v>0</v>
      </c>
      <c r="P32">
        <v>0</v>
      </c>
      <c r="Q32">
        <v>0</v>
      </c>
      <c r="R32">
        <v>0</v>
      </c>
      <c r="S32" s="453">
        <v>45862.011805555558</v>
      </c>
      <c r="T32" t="s">
        <v>41</v>
      </c>
      <c r="U32" t="s">
        <v>445</v>
      </c>
      <c r="V32" t="s">
        <v>607</v>
      </c>
    </row>
    <row r="33" spans="1:22">
      <c r="A33">
        <v>4</v>
      </c>
      <c r="B33" s="111">
        <v>45913</v>
      </c>
      <c r="C33" s="453">
        <v>45913.416666666664</v>
      </c>
      <c r="D33" s="453">
        <v>45913.625</v>
      </c>
      <c r="E33" s="453">
        <v>45913.708333333336</v>
      </c>
      <c r="F33" s="453">
        <v>45913.75</v>
      </c>
      <c r="G33" s="453">
        <v>45913.916666666664</v>
      </c>
      <c r="H33" t="s">
        <v>285</v>
      </c>
      <c r="I33" t="s">
        <v>43</v>
      </c>
      <c r="J33" t="s">
        <v>3</v>
      </c>
      <c r="M33" t="s">
        <v>4</v>
      </c>
      <c r="N33">
        <v>0</v>
      </c>
      <c r="O33">
        <v>0</v>
      </c>
      <c r="P33">
        <v>0</v>
      </c>
      <c r="Q33">
        <v>0</v>
      </c>
      <c r="R33">
        <v>0</v>
      </c>
      <c r="S33" s="453">
        <v>45827.01666666667</v>
      </c>
      <c r="T33" t="s">
        <v>41</v>
      </c>
      <c r="U33" t="s">
        <v>445</v>
      </c>
      <c r="V33" t="s">
        <v>607</v>
      </c>
    </row>
    <row r="34" spans="1:22">
      <c r="A34">
        <v>4</v>
      </c>
      <c r="B34" s="111">
        <v>45913</v>
      </c>
      <c r="C34" s="453">
        <v>45913.416666666664</v>
      </c>
      <c r="D34" s="453">
        <v>45913.625</v>
      </c>
      <c r="E34" s="453">
        <v>45913.708333333336</v>
      </c>
      <c r="F34" s="453">
        <v>45913.75</v>
      </c>
      <c r="G34" s="453">
        <v>45913.916666666664</v>
      </c>
      <c r="H34" t="s">
        <v>456</v>
      </c>
      <c r="I34" t="s">
        <v>44</v>
      </c>
      <c r="J34" t="s">
        <v>7</v>
      </c>
      <c r="M34" t="s">
        <v>443</v>
      </c>
      <c r="N34">
        <v>0</v>
      </c>
      <c r="O34">
        <v>0</v>
      </c>
      <c r="P34">
        <v>0</v>
      </c>
      <c r="Q34">
        <v>0</v>
      </c>
      <c r="R34">
        <v>0</v>
      </c>
      <c r="S34" s="453">
        <v>45827.01666666667</v>
      </c>
      <c r="T34" t="s">
        <v>41</v>
      </c>
      <c r="U34" t="s">
        <v>445</v>
      </c>
      <c r="V34" t="s">
        <v>607</v>
      </c>
    </row>
    <row r="35" spans="1:22">
      <c r="A35">
        <v>4</v>
      </c>
      <c r="B35" s="111">
        <v>45913</v>
      </c>
      <c r="C35" s="453">
        <v>45913.416666666664</v>
      </c>
      <c r="D35" s="453">
        <v>45913.625</v>
      </c>
      <c r="E35" s="453">
        <v>45913.708333333336</v>
      </c>
      <c r="F35" s="453">
        <v>45913.75</v>
      </c>
      <c r="G35" s="453">
        <v>45913.916666666664</v>
      </c>
      <c r="H35" t="s">
        <v>137</v>
      </c>
      <c r="I35" t="s">
        <v>452</v>
      </c>
      <c r="J35" t="s">
        <v>8</v>
      </c>
      <c r="M35" t="s">
        <v>2</v>
      </c>
      <c r="N35">
        <v>0</v>
      </c>
      <c r="O35">
        <v>0</v>
      </c>
      <c r="P35">
        <v>0</v>
      </c>
      <c r="Q35">
        <v>0</v>
      </c>
      <c r="R35">
        <v>0</v>
      </c>
      <c r="S35" s="453">
        <v>45827.01666666667</v>
      </c>
      <c r="T35" t="s">
        <v>41</v>
      </c>
      <c r="U35" t="s">
        <v>445</v>
      </c>
      <c r="V35" t="s">
        <v>607</v>
      </c>
    </row>
    <row r="36" spans="1:22">
      <c r="A36">
        <v>4</v>
      </c>
      <c r="B36" s="111">
        <v>45913</v>
      </c>
      <c r="C36" s="453">
        <v>45913.416666666664</v>
      </c>
      <c r="D36" s="453">
        <v>45913.625</v>
      </c>
      <c r="E36" s="453">
        <v>45913.708333333336</v>
      </c>
      <c r="F36" s="453">
        <v>45913.75</v>
      </c>
      <c r="G36" s="453">
        <v>45913.916666666664</v>
      </c>
      <c r="H36" t="s">
        <v>517</v>
      </c>
      <c r="I36" t="s">
        <v>157</v>
      </c>
      <c r="J36" t="s">
        <v>108</v>
      </c>
      <c r="M36" t="s">
        <v>444</v>
      </c>
      <c r="N36">
        <v>0</v>
      </c>
      <c r="O36">
        <v>0</v>
      </c>
      <c r="P36">
        <v>0</v>
      </c>
      <c r="Q36">
        <v>0</v>
      </c>
      <c r="R36">
        <v>0</v>
      </c>
      <c r="S36" s="453">
        <v>45827.01666666667</v>
      </c>
      <c r="T36" t="s">
        <v>41</v>
      </c>
      <c r="U36" t="s">
        <v>445</v>
      </c>
      <c r="V36" t="s">
        <v>607</v>
      </c>
    </row>
    <row r="37" spans="1:22">
      <c r="A37">
        <v>4</v>
      </c>
      <c r="B37" s="111">
        <v>45913</v>
      </c>
      <c r="C37" s="453">
        <v>45913.416666666664</v>
      </c>
      <c r="D37" s="453">
        <v>45913.625</v>
      </c>
      <c r="E37" s="453">
        <v>45913.708333333336</v>
      </c>
      <c r="F37" s="453">
        <v>45913.75</v>
      </c>
      <c r="G37" s="453">
        <v>45913.916666666664</v>
      </c>
      <c r="H37" t="s">
        <v>337</v>
      </c>
      <c r="I37" t="s">
        <v>46</v>
      </c>
      <c r="J37" t="s">
        <v>12</v>
      </c>
      <c r="M37" t="s">
        <v>15</v>
      </c>
      <c r="N37">
        <v>0</v>
      </c>
      <c r="O37">
        <v>0</v>
      </c>
      <c r="P37">
        <v>0</v>
      </c>
      <c r="Q37">
        <v>0</v>
      </c>
      <c r="R37">
        <v>0</v>
      </c>
      <c r="S37" s="453">
        <v>45827.01666666667</v>
      </c>
      <c r="T37" t="s">
        <v>41</v>
      </c>
      <c r="U37" t="s">
        <v>445</v>
      </c>
      <c r="V37" t="s">
        <v>607</v>
      </c>
    </row>
    <row r="38" spans="1:22">
      <c r="A38">
        <v>4</v>
      </c>
      <c r="B38" s="111">
        <v>45913</v>
      </c>
      <c r="C38" s="453">
        <v>45913.520833333336</v>
      </c>
      <c r="D38" s="453">
        <v>45913.729166666664</v>
      </c>
      <c r="E38" s="453">
        <v>45913.8125</v>
      </c>
      <c r="F38" s="453">
        <v>45913.854166666664</v>
      </c>
      <c r="G38" s="453">
        <v>45914.020833333336</v>
      </c>
      <c r="H38" t="s">
        <v>416</v>
      </c>
      <c r="I38" t="s">
        <v>42</v>
      </c>
      <c r="J38" t="s">
        <v>14</v>
      </c>
      <c r="M38" t="s">
        <v>13</v>
      </c>
      <c r="N38">
        <v>0</v>
      </c>
      <c r="O38">
        <v>0</v>
      </c>
      <c r="P38">
        <v>0</v>
      </c>
      <c r="Q38">
        <v>0</v>
      </c>
      <c r="R38">
        <v>0</v>
      </c>
      <c r="S38" s="453">
        <v>45862.011805555558</v>
      </c>
      <c r="T38" t="s">
        <v>41</v>
      </c>
      <c r="U38" t="s">
        <v>445</v>
      </c>
      <c r="V38" t="s">
        <v>607</v>
      </c>
    </row>
    <row r="39" spans="1:22">
      <c r="A39">
        <v>4</v>
      </c>
      <c r="B39" s="111">
        <v>45913</v>
      </c>
      <c r="C39" s="453">
        <v>45913.625</v>
      </c>
      <c r="D39" s="453">
        <v>45913.833333333336</v>
      </c>
      <c r="E39" s="453">
        <v>45913.916666666664</v>
      </c>
      <c r="F39" s="453">
        <v>45913.958333333336</v>
      </c>
      <c r="G39" s="453">
        <v>45914.125</v>
      </c>
      <c r="H39" t="s">
        <v>122</v>
      </c>
      <c r="I39" t="s">
        <v>172</v>
      </c>
      <c r="J39" t="s">
        <v>107</v>
      </c>
      <c r="M39" t="s">
        <v>6</v>
      </c>
      <c r="N39">
        <v>0</v>
      </c>
      <c r="O39">
        <v>0</v>
      </c>
      <c r="P39">
        <v>0</v>
      </c>
      <c r="Q39">
        <v>0</v>
      </c>
      <c r="R39">
        <v>0</v>
      </c>
      <c r="S39" s="453">
        <v>45862.011805555558</v>
      </c>
      <c r="T39" t="s">
        <v>41</v>
      </c>
      <c r="U39" t="s">
        <v>445</v>
      </c>
      <c r="V39" t="s">
        <v>607</v>
      </c>
    </row>
    <row r="40" spans="1:22">
      <c r="A40">
        <v>4</v>
      </c>
      <c r="B40" s="111">
        <v>45914</v>
      </c>
      <c r="C40" s="453">
        <v>45914.375</v>
      </c>
      <c r="D40" s="453">
        <v>45914.583333333336</v>
      </c>
      <c r="E40" s="453">
        <v>45914.666666666664</v>
      </c>
      <c r="F40" s="453">
        <v>45914.708333333336</v>
      </c>
      <c r="G40" s="453">
        <v>45914.875</v>
      </c>
      <c r="H40" t="s">
        <v>455</v>
      </c>
      <c r="I40" t="s">
        <v>451</v>
      </c>
      <c r="J40" t="s">
        <v>5</v>
      </c>
      <c r="M40" t="s">
        <v>9</v>
      </c>
      <c r="N40">
        <v>0</v>
      </c>
      <c r="O40">
        <v>0</v>
      </c>
      <c r="P40">
        <v>0</v>
      </c>
      <c r="Q40">
        <v>0</v>
      </c>
      <c r="R40">
        <v>0</v>
      </c>
      <c r="S40" s="453">
        <v>45862.011805555558</v>
      </c>
      <c r="T40" t="s">
        <v>41</v>
      </c>
      <c r="U40" t="s">
        <v>445</v>
      </c>
      <c r="V40" t="s">
        <v>607</v>
      </c>
    </row>
    <row r="41" spans="1:22">
      <c r="A41">
        <v>4</v>
      </c>
      <c r="B41" s="111">
        <v>45914</v>
      </c>
      <c r="C41" s="453">
        <v>45914.479166666664</v>
      </c>
      <c r="D41" s="453">
        <v>45914.6875</v>
      </c>
      <c r="E41" s="453">
        <v>45914.770833333336</v>
      </c>
      <c r="F41" s="453">
        <v>45914.8125</v>
      </c>
      <c r="G41" s="453">
        <v>45914.979166666664</v>
      </c>
      <c r="H41" t="s">
        <v>308</v>
      </c>
      <c r="I41" t="s">
        <v>50</v>
      </c>
      <c r="J41" t="s">
        <v>10</v>
      </c>
      <c r="M41" t="s">
        <v>11</v>
      </c>
      <c r="N41">
        <v>0</v>
      </c>
      <c r="O41">
        <v>0</v>
      </c>
      <c r="P41">
        <v>0</v>
      </c>
      <c r="Q41">
        <v>0</v>
      </c>
      <c r="R41">
        <v>0</v>
      </c>
      <c r="S41" s="453">
        <v>45862.011805555558</v>
      </c>
      <c r="T41" t="s">
        <v>41</v>
      </c>
      <c r="U41" t="s">
        <v>445</v>
      </c>
      <c r="V41" t="s">
        <v>607</v>
      </c>
    </row>
    <row r="42" spans="1:22">
      <c r="A42">
        <v>5</v>
      </c>
      <c r="B42" s="111">
        <v>45920</v>
      </c>
      <c r="C42" s="453">
        <v>45920.3125</v>
      </c>
      <c r="D42" s="453">
        <v>45920.520833333336</v>
      </c>
      <c r="E42" s="453">
        <v>45920.604166666664</v>
      </c>
      <c r="F42" s="453">
        <v>45920.645833333336</v>
      </c>
      <c r="G42" s="453">
        <v>45920.8125</v>
      </c>
      <c r="H42" t="s">
        <v>148</v>
      </c>
      <c r="I42" t="s">
        <v>40</v>
      </c>
      <c r="J42" t="s">
        <v>9</v>
      </c>
      <c r="M42" t="s">
        <v>8</v>
      </c>
      <c r="N42">
        <v>0</v>
      </c>
      <c r="O42">
        <v>0</v>
      </c>
      <c r="P42">
        <v>0</v>
      </c>
      <c r="Q42">
        <v>0</v>
      </c>
      <c r="R42">
        <v>0</v>
      </c>
      <c r="S42" s="453">
        <v>45862.011805555558</v>
      </c>
      <c r="T42" t="s">
        <v>41</v>
      </c>
      <c r="U42" t="s">
        <v>445</v>
      </c>
      <c r="V42" t="s">
        <v>607</v>
      </c>
    </row>
    <row r="43" spans="1:22">
      <c r="A43">
        <v>5</v>
      </c>
      <c r="B43" s="111">
        <v>45920</v>
      </c>
      <c r="C43" s="453">
        <v>45920.416666666664</v>
      </c>
      <c r="D43" s="453">
        <v>45920.625</v>
      </c>
      <c r="E43" s="453">
        <v>45920.708333333336</v>
      </c>
      <c r="F43" s="453">
        <v>45920.75</v>
      </c>
      <c r="G43" s="453">
        <v>45920.916666666664</v>
      </c>
      <c r="H43" t="s">
        <v>228</v>
      </c>
      <c r="I43" t="s">
        <v>43</v>
      </c>
      <c r="J43" t="s">
        <v>3</v>
      </c>
      <c r="M43" t="s">
        <v>12</v>
      </c>
      <c r="N43">
        <v>0</v>
      </c>
      <c r="O43">
        <v>0</v>
      </c>
      <c r="P43">
        <v>0</v>
      </c>
      <c r="Q43">
        <v>0</v>
      </c>
      <c r="R43">
        <v>0</v>
      </c>
      <c r="S43" s="453">
        <v>45827.01666666667</v>
      </c>
      <c r="T43" t="s">
        <v>41</v>
      </c>
      <c r="U43" t="s">
        <v>445</v>
      </c>
      <c r="V43" t="s">
        <v>607</v>
      </c>
    </row>
    <row r="44" spans="1:22">
      <c r="A44">
        <v>5</v>
      </c>
      <c r="B44" s="111">
        <v>45920</v>
      </c>
      <c r="C44" s="453">
        <v>45920.416666666664</v>
      </c>
      <c r="D44" s="453">
        <v>45920.625</v>
      </c>
      <c r="E44" s="453">
        <v>45920.708333333336</v>
      </c>
      <c r="F44" s="453">
        <v>45920.75</v>
      </c>
      <c r="G44" s="453">
        <v>45920.916666666664</v>
      </c>
      <c r="H44" t="s">
        <v>261</v>
      </c>
      <c r="I44" t="s">
        <v>217</v>
      </c>
      <c r="J44" t="s">
        <v>4</v>
      </c>
      <c r="M44" t="s">
        <v>13</v>
      </c>
      <c r="N44">
        <v>0</v>
      </c>
      <c r="O44">
        <v>0</v>
      </c>
      <c r="P44">
        <v>0</v>
      </c>
      <c r="Q44">
        <v>0</v>
      </c>
      <c r="R44">
        <v>0</v>
      </c>
      <c r="S44" s="453">
        <v>45827.01666666667</v>
      </c>
      <c r="T44" t="s">
        <v>41</v>
      </c>
      <c r="U44" t="s">
        <v>445</v>
      </c>
      <c r="V44" t="s">
        <v>607</v>
      </c>
    </row>
    <row r="45" spans="1:22">
      <c r="A45">
        <v>5</v>
      </c>
      <c r="B45" s="111">
        <v>45920</v>
      </c>
      <c r="C45" s="453">
        <v>45920.416666666664</v>
      </c>
      <c r="D45" s="453">
        <v>45920.625</v>
      </c>
      <c r="E45" s="453">
        <v>45920.708333333336</v>
      </c>
      <c r="F45" s="453">
        <v>45920.75</v>
      </c>
      <c r="G45" s="453">
        <v>45920.916666666664</v>
      </c>
      <c r="H45" t="s">
        <v>457</v>
      </c>
      <c r="I45" t="s">
        <v>451</v>
      </c>
      <c r="J45" t="s">
        <v>5</v>
      </c>
      <c r="M45" t="s">
        <v>188</v>
      </c>
      <c r="N45">
        <v>0</v>
      </c>
      <c r="O45">
        <v>0</v>
      </c>
      <c r="P45">
        <v>0</v>
      </c>
      <c r="Q45">
        <v>0</v>
      </c>
      <c r="R45">
        <v>0</v>
      </c>
      <c r="S45" s="453">
        <v>45827.01666666667</v>
      </c>
      <c r="T45" t="s">
        <v>41</v>
      </c>
      <c r="U45" t="s">
        <v>445</v>
      </c>
      <c r="V45" t="s">
        <v>607</v>
      </c>
    </row>
    <row r="46" spans="1:22">
      <c r="A46">
        <v>5</v>
      </c>
      <c r="B46" s="111">
        <v>45920</v>
      </c>
      <c r="C46" s="453">
        <v>45920.416666666664</v>
      </c>
      <c r="D46" s="453">
        <v>45920.625</v>
      </c>
      <c r="E46" s="453">
        <v>45920.708333333336</v>
      </c>
      <c r="F46" s="453">
        <v>45920.75</v>
      </c>
      <c r="G46" s="453">
        <v>45920.916666666664</v>
      </c>
      <c r="H46" t="s">
        <v>340</v>
      </c>
      <c r="I46" t="s">
        <v>42</v>
      </c>
      <c r="J46" t="s">
        <v>14</v>
      </c>
      <c r="M46" t="s">
        <v>7</v>
      </c>
      <c r="N46">
        <v>0</v>
      </c>
      <c r="O46">
        <v>0</v>
      </c>
      <c r="P46">
        <v>0</v>
      </c>
      <c r="Q46">
        <v>0</v>
      </c>
      <c r="R46">
        <v>0</v>
      </c>
      <c r="S46" s="453">
        <v>45827.01666666667</v>
      </c>
      <c r="T46" t="s">
        <v>41</v>
      </c>
      <c r="U46" t="s">
        <v>445</v>
      </c>
      <c r="V46" t="s">
        <v>607</v>
      </c>
    </row>
    <row r="47" spans="1:22">
      <c r="A47">
        <v>5</v>
      </c>
      <c r="B47" s="111">
        <v>45920</v>
      </c>
      <c r="C47" s="453">
        <v>45920.416666666664</v>
      </c>
      <c r="D47" s="453">
        <v>45920.625</v>
      </c>
      <c r="E47" s="453">
        <v>45920.708333333336</v>
      </c>
      <c r="F47" s="453">
        <v>45920.75</v>
      </c>
      <c r="G47" s="453">
        <v>45920.916666666664</v>
      </c>
      <c r="H47" t="s">
        <v>518</v>
      </c>
      <c r="I47" t="s">
        <v>52</v>
      </c>
      <c r="J47" t="s">
        <v>15</v>
      </c>
      <c r="M47" t="s">
        <v>444</v>
      </c>
      <c r="N47">
        <v>0</v>
      </c>
      <c r="O47">
        <v>0</v>
      </c>
      <c r="P47">
        <v>0</v>
      </c>
      <c r="Q47">
        <v>0</v>
      </c>
      <c r="R47">
        <v>0</v>
      </c>
      <c r="S47" s="453">
        <v>45827.01666666667</v>
      </c>
      <c r="T47" t="s">
        <v>41</v>
      </c>
      <c r="U47" t="s">
        <v>445</v>
      </c>
      <c r="V47" t="s">
        <v>607</v>
      </c>
    </row>
    <row r="48" spans="1:22">
      <c r="A48">
        <v>5</v>
      </c>
      <c r="B48" s="111">
        <v>45920</v>
      </c>
      <c r="C48" s="453">
        <v>45920.520833333336</v>
      </c>
      <c r="D48" s="453">
        <v>45920.729166666664</v>
      </c>
      <c r="E48" s="453">
        <v>45920.8125</v>
      </c>
      <c r="F48" s="453">
        <v>45920.854166666664</v>
      </c>
      <c r="G48" s="453">
        <v>45921.020833333336</v>
      </c>
      <c r="H48" t="s">
        <v>279</v>
      </c>
      <c r="I48" t="s">
        <v>47</v>
      </c>
      <c r="J48" t="s">
        <v>11</v>
      </c>
      <c r="M48" t="s">
        <v>6</v>
      </c>
      <c r="N48">
        <v>0</v>
      </c>
      <c r="O48">
        <v>0</v>
      </c>
      <c r="P48">
        <v>0</v>
      </c>
      <c r="Q48">
        <v>0</v>
      </c>
      <c r="R48">
        <v>0</v>
      </c>
      <c r="S48" s="453">
        <v>45862.011805555558</v>
      </c>
      <c r="T48" t="s">
        <v>41</v>
      </c>
      <c r="U48" t="s">
        <v>445</v>
      </c>
      <c r="V48" t="s">
        <v>607</v>
      </c>
    </row>
    <row r="49" spans="1:22">
      <c r="A49">
        <v>5</v>
      </c>
      <c r="B49" s="111">
        <v>45920</v>
      </c>
      <c r="C49" s="453">
        <v>45920.625</v>
      </c>
      <c r="D49" s="453">
        <v>45920.833333333336</v>
      </c>
      <c r="E49" s="453">
        <v>45920.916666666664</v>
      </c>
      <c r="F49" s="453">
        <v>45920.958333333336</v>
      </c>
      <c r="G49" s="453">
        <v>45921.125</v>
      </c>
      <c r="H49" t="s">
        <v>159</v>
      </c>
      <c r="I49" t="s">
        <v>157</v>
      </c>
      <c r="J49" t="s">
        <v>108</v>
      </c>
      <c r="M49" t="s">
        <v>107</v>
      </c>
      <c r="N49">
        <v>0</v>
      </c>
      <c r="O49">
        <v>0</v>
      </c>
      <c r="P49">
        <v>0</v>
      </c>
      <c r="Q49">
        <v>0</v>
      </c>
      <c r="R49">
        <v>0</v>
      </c>
      <c r="S49" s="453">
        <v>45862.011805555558</v>
      </c>
      <c r="T49" t="s">
        <v>41</v>
      </c>
      <c r="U49" t="s">
        <v>445</v>
      </c>
      <c r="V49" t="s">
        <v>607</v>
      </c>
    </row>
    <row r="50" spans="1:22">
      <c r="A50">
        <v>5</v>
      </c>
      <c r="B50" s="111">
        <v>45921</v>
      </c>
      <c r="C50" s="453">
        <v>45921.375</v>
      </c>
      <c r="D50" s="453">
        <v>45921.583333333336</v>
      </c>
      <c r="E50" s="453">
        <v>45921.666666666664</v>
      </c>
      <c r="F50" s="453">
        <v>45921.708333333336</v>
      </c>
      <c r="G50" s="453">
        <v>45921.875</v>
      </c>
      <c r="H50" t="s">
        <v>458</v>
      </c>
      <c r="I50" t="s">
        <v>448</v>
      </c>
      <c r="J50" t="s">
        <v>443</v>
      </c>
      <c r="M50" t="s">
        <v>2</v>
      </c>
      <c r="N50">
        <v>0</v>
      </c>
      <c r="O50">
        <v>0</v>
      </c>
      <c r="P50">
        <v>0</v>
      </c>
      <c r="Q50">
        <v>0</v>
      </c>
      <c r="R50">
        <v>0</v>
      </c>
      <c r="S50" s="453">
        <v>45862.011805555558</v>
      </c>
      <c r="T50" t="s">
        <v>41</v>
      </c>
      <c r="U50" t="s">
        <v>445</v>
      </c>
      <c r="V50" t="s">
        <v>607</v>
      </c>
    </row>
    <row r="51" spans="1:22">
      <c r="A51">
        <v>5</v>
      </c>
      <c r="B51" s="111">
        <v>45921</v>
      </c>
      <c r="C51" s="453">
        <v>45921.479166666664</v>
      </c>
      <c r="D51" s="453">
        <v>45921.6875</v>
      </c>
      <c r="E51" s="453">
        <v>45921.770833333336</v>
      </c>
      <c r="F51" s="453">
        <v>45921.8125</v>
      </c>
      <c r="G51" s="453">
        <v>45921.979166666664</v>
      </c>
      <c r="H51" t="s">
        <v>350</v>
      </c>
      <c r="I51" t="s">
        <v>48</v>
      </c>
      <c r="J51" t="s">
        <v>1</v>
      </c>
      <c r="M51" t="s">
        <v>10</v>
      </c>
      <c r="N51">
        <v>0</v>
      </c>
      <c r="O51">
        <v>0</v>
      </c>
      <c r="P51">
        <v>0</v>
      </c>
      <c r="Q51">
        <v>0</v>
      </c>
      <c r="R51">
        <v>0</v>
      </c>
      <c r="S51" s="453">
        <v>45862.011805555558</v>
      </c>
      <c r="T51" t="s">
        <v>41</v>
      </c>
      <c r="U51" t="s">
        <v>445</v>
      </c>
      <c r="V51" t="s">
        <v>607</v>
      </c>
    </row>
    <row r="52" spans="1:22">
      <c r="A52">
        <v>6</v>
      </c>
      <c r="B52" s="111">
        <v>45927</v>
      </c>
      <c r="C52" s="453">
        <v>45927.3125</v>
      </c>
      <c r="D52" s="453">
        <v>45927.520833333336</v>
      </c>
      <c r="E52" s="453">
        <v>45927.604166666664</v>
      </c>
      <c r="F52" s="453">
        <v>45927.645833333336</v>
      </c>
      <c r="G52" s="453">
        <v>45927.8125</v>
      </c>
      <c r="H52" t="s">
        <v>412</v>
      </c>
      <c r="I52" t="s">
        <v>172</v>
      </c>
      <c r="J52" t="s">
        <v>107</v>
      </c>
      <c r="M52" t="s">
        <v>11</v>
      </c>
      <c r="N52">
        <v>0</v>
      </c>
      <c r="O52">
        <v>0</v>
      </c>
      <c r="P52">
        <v>0</v>
      </c>
      <c r="Q52">
        <v>0</v>
      </c>
      <c r="R52">
        <v>0</v>
      </c>
      <c r="S52" s="453">
        <v>45862.011805555558</v>
      </c>
      <c r="T52" t="s">
        <v>41</v>
      </c>
      <c r="U52" t="s">
        <v>445</v>
      </c>
      <c r="V52" t="s">
        <v>607</v>
      </c>
    </row>
    <row r="53" spans="1:22">
      <c r="A53">
        <v>6</v>
      </c>
      <c r="B53" s="111">
        <v>45927</v>
      </c>
      <c r="C53" s="453">
        <v>45927.416666666664</v>
      </c>
      <c r="D53" s="453">
        <v>45927.625</v>
      </c>
      <c r="E53" s="453">
        <v>45927.708333333336</v>
      </c>
      <c r="F53" s="453">
        <v>45927.75</v>
      </c>
      <c r="G53" s="453">
        <v>45927.916666666664</v>
      </c>
      <c r="H53" t="s">
        <v>170</v>
      </c>
      <c r="I53" t="s">
        <v>49</v>
      </c>
      <c r="J53" t="s">
        <v>2</v>
      </c>
      <c r="M53" t="s">
        <v>108</v>
      </c>
      <c r="N53">
        <v>0</v>
      </c>
      <c r="O53">
        <v>0</v>
      </c>
      <c r="P53">
        <v>0</v>
      </c>
      <c r="Q53">
        <v>0</v>
      </c>
      <c r="R53">
        <v>0</v>
      </c>
      <c r="S53" s="453">
        <v>45827.017361111109</v>
      </c>
      <c r="T53" t="s">
        <v>41</v>
      </c>
      <c r="U53" t="s">
        <v>445</v>
      </c>
      <c r="V53" t="s">
        <v>607</v>
      </c>
    </row>
    <row r="54" spans="1:22">
      <c r="A54">
        <v>6</v>
      </c>
      <c r="B54" s="111">
        <v>45927</v>
      </c>
      <c r="C54" s="453">
        <v>45927.416666666664</v>
      </c>
      <c r="D54" s="453">
        <v>45927.625</v>
      </c>
      <c r="E54" s="453">
        <v>45927.708333333336</v>
      </c>
      <c r="F54" s="453">
        <v>45927.75</v>
      </c>
      <c r="G54" s="453">
        <v>45927.916666666664</v>
      </c>
      <c r="H54" t="s">
        <v>252</v>
      </c>
      <c r="I54" t="s">
        <v>51</v>
      </c>
      <c r="J54" t="s">
        <v>6</v>
      </c>
      <c r="M54" t="s">
        <v>4</v>
      </c>
      <c r="N54">
        <v>0</v>
      </c>
      <c r="O54">
        <v>0</v>
      </c>
      <c r="P54">
        <v>0</v>
      </c>
      <c r="Q54">
        <v>0</v>
      </c>
      <c r="R54">
        <v>0</v>
      </c>
      <c r="S54" s="453">
        <v>45827.017361111109</v>
      </c>
      <c r="T54" t="s">
        <v>41</v>
      </c>
      <c r="U54" t="s">
        <v>445</v>
      </c>
      <c r="V54" t="s">
        <v>607</v>
      </c>
    </row>
    <row r="55" spans="1:22">
      <c r="A55">
        <v>6</v>
      </c>
      <c r="B55" s="111">
        <v>45927</v>
      </c>
      <c r="C55" s="453">
        <v>45927.416666666664</v>
      </c>
      <c r="D55" s="453">
        <v>45927.625</v>
      </c>
      <c r="E55" s="453">
        <v>45927.708333333336</v>
      </c>
      <c r="F55" s="453">
        <v>45927.75</v>
      </c>
      <c r="G55" s="453">
        <v>45927.916666666664</v>
      </c>
      <c r="H55" t="s">
        <v>136</v>
      </c>
      <c r="I55" t="s">
        <v>44</v>
      </c>
      <c r="J55" t="s">
        <v>7</v>
      </c>
      <c r="M55" t="s">
        <v>9</v>
      </c>
      <c r="N55">
        <v>0</v>
      </c>
      <c r="O55">
        <v>0</v>
      </c>
      <c r="P55">
        <v>0</v>
      </c>
      <c r="Q55">
        <v>0</v>
      </c>
      <c r="R55">
        <v>0</v>
      </c>
      <c r="S55" s="453">
        <v>45827.017361111109</v>
      </c>
      <c r="T55" t="s">
        <v>41</v>
      </c>
      <c r="U55" t="s">
        <v>445</v>
      </c>
      <c r="V55" t="s">
        <v>607</v>
      </c>
    </row>
    <row r="56" spans="1:22">
      <c r="A56">
        <v>6</v>
      </c>
      <c r="B56" s="111">
        <v>45927</v>
      </c>
      <c r="C56" s="453">
        <v>45927.416666666664</v>
      </c>
      <c r="D56" s="453">
        <v>45927.625</v>
      </c>
      <c r="E56" s="453">
        <v>45927.708333333336</v>
      </c>
      <c r="F56" s="453">
        <v>45927.75</v>
      </c>
      <c r="G56" s="453">
        <v>45927.916666666664</v>
      </c>
      <c r="H56" t="s">
        <v>519</v>
      </c>
      <c r="I56" t="s">
        <v>449</v>
      </c>
      <c r="J56" t="s">
        <v>444</v>
      </c>
      <c r="M56" t="s">
        <v>3</v>
      </c>
      <c r="N56">
        <v>0</v>
      </c>
      <c r="O56">
        <v>0</v>
      </c>
      <c r="P56">
        <v>0</v>
      </c>
      <c r="Q56">
        <v>0</v>
      </c>
      <c r="R56">
        <v>0</v>
      </c>
      <c r="S56" s="453">
        <v>45827.017361111109</v>
      </c>
      <c r="T56" t="s">
        <v>41</v>
      </c>
      <c r="U56" t="s">
        <v>445</v>
      </c>
      <c r="V56" t="s">
        <v>607</v>
      </c>
    </row>
    <row r="57" spans="1:22">
      <c r="A57">
        <v>6</v>
      </c>
      <c r="B57" s="111">
        <v>45927</v>
      </c>
      <c r="C57" s="453">
        <v>45927.416666666664</v>
      </c>
      <c r="D57" s="453">
        <v>45927.625</v>
      </c>
      <c r="E57" s="453">
        <v>45927.708333333336</v>
      </c>
      <c r="F57" s="453">
        <v>45927.75</v>
      </c>
      <c r="G57" s="453">
        <v>45927.916666666664</v>
      </c>
      <c r="H57" t="s">
        <v>459</v>
      </c>
      <c r="I57" t="s">
        <v>50</v>
      </c>
      <c r="J57" t="s">
        <v>10</v>
      </c>
      <c r="M57" t="s">
        <v>5</v>
      </c>
      <c r="N57">
        <v>0</v>
      </c>
      <c r="O57">
        <v>0</v>
      </c>
      <c r="P57">
        <v>0</v>
      </c>
      <c r="Q57">
        <v>0</v>
      </c>
      <c r="R57">
        <v>0</v>
      </c>
      <c r="S57" s="453">
        <v>45827.017361111109</v>
      </c>
      <c r="T57" t="s">
        <v>41</v>
      </c>
      <c r="U57" t="s">
        <v>445</v>
      </c>
      <c r="V57" t="s">
        <v>607</v>
      </c>
    </row>
    <row r="58" spans="1:22">
      <c r="A58">
        <v>6</v>
      </c>
      <c r="B58" s="111">
        <v>45927</v>
      </c>
      <c r="C58" s="453">
        <v>45927.520833333336</v>
      </c>
      <c r="D58" s="453">
        <v>45927.729166666664</v>
      </c>
      <c r="E58" s="453">
        <v>45927.8125</v>
      </c>
      <c r="F58" s="453">
        <v>45927.854166666664</v>
      </c>
      <c r="G58" s="453">
        <v>45928.020833333336</v>
      </c>
      <c r="H58" t="s">
        <v>460</v>
      </c>
      <c r="I58" t="s">
        <v>158</v>
      </c>
      <c r="J58" t="s">
        <v>188</v>
      </c>
      <c r="M58" t="s">
        <v>443</v>
      </c>
      <c r="N58">
        <v>0</v>
      </c>
      <c r="O58">
        <v>0</v>
      </c>
      <c r="P58">
        <v>0</v>
      </c>
      <c r="Q58">
        <v>0</v>
      </c>
      <c r="R58">
        <v>0</v>
      </c>
      <c r="S58" s="453">
        <v>45862.011805555558</v>
      </c>
      <c r="T58" t="s">
        <v>41</v>
      </c>
      <c r="U58" t="s">
        <v>445</v>
      </c>
      <c r="V58" t="s">
        <v>607</v>
      </c>
    </row>
    <row r="59" spans="1:22">
      <c r="A59">
        <v>6</v>
      </c>
      <c r="B59" s="111">
        <v>45928</v>
      </c>
      <c r="C59" s="453">
        <v>45928.375</v>
      </c>
      <c r="D59" s="453">
        <v>45928.583333333336</v>
      </c>
      <c r="E59" s="453">
        <v>45928.666666666664</v>
      </c>
      <c r="F59" s="453">
        <v>45928.708333333336</v>
      </c>
      <c r="G59" s="453">
        <v>45928.875</v>
      </c>
      <c r="H59" t="s">
        <v>323</v>
      </c>
      <c r="I59" t="s">
        <v>45</v>
      </c>
      <c r="J59" t="s">
        <v>13</v>
      </c>
      <c r="M59" t="s">
        <v>15</v>
      </c>
      <c r="N59">
        <v>0</v>
      </c>
      <c r="O59">
        <v>0</v>
      </c>
      <c r="P59">
        <v>0</v>
      </c>
      <c r="Q59">
        <v>0</v>
      </c>
      <c r="R59">
        <v>0</v>
      </c>
      <c r="S59" s="453">
        <v>45862.011805555558</v>
      </c>
      <c r="T59" t="s">
        <v>41</v>
      </c>
      <c r="U59" t="s">
        <v>445</v>
      </c>
      <c r="V59" t="s">
        <v>607</v>
      </c>
    </row>
    <row r="60" spans="1:22">
      <c r="A60">
        <v>6</v>
      </c>
      <c r="B60" s="111">
        <v>45928</v>
      </c>
      <c r="C60" s="453">
        <v>45928.479166666664</v>
      </c>
      <c r="D60" s="453">
        <v>45928.6875</v>
      </c>
      <c r="E60" s="453">
        <v>45928.770833333336</v>
      </c>
      <c r="F60" s="453">
        <v>45928.8125</v>
      </c>
      <c r="G60" s="453">
        <v>45928.979166666664</v>
      </c>
      <c r="H60" t="s">
        <v>273</v>
      </c>
      <c r="I60" t="s">
        <v>46</v>
      </c>
      <c r="J60" t="s">
        <v>12</v>
      </c>
      <c r="M60" t="s">
        <v>1</v>
      </c>
      <c r="N60">
        <v>0</v>
      </c>
      <c r="O60">
        <v>0</v>
      </c>
      <c r="P60">
        <v>0</v>
      </c>
      <c r="Q60">
        <v>0</v>
      </c>
      <c r="R60">
        <v>0</v>
      </c>
      <c r="S60" s="453">
        <v>45862.011805555558</v>
      </c>
      <c r="T60" t="s">
        <v>41</v>
      </c>
      <c r="U60" t="s">
        <v>445</v>
      </c>
      <c r="V60" t="s">
        <v>607</v>
      </c>
    </row>
    <row r="61" spans="1:22">
      <c r="A61">
        <v>6</v>
      </c>
      <c r="B61" s="111">
        <v>45929</v>
      </c>
      <c r="C61" s="453">
        <v>45929.625</v>
      </c>
      <c r="D61" s="453">
        <v>45929.833333333336</v>
      </c>
      <c r="E61" s="453">
        <v>45929.916666666664</v>
      </c>
      <c r="F61" s="453">
        <v>45929.958333333336</v>
      </c>
      <c r="G61" s="453">
        <v>45930.125</v>
      </c>
      <c r="H61" t="s">
        <v>381</v>
      </c>
      <c r="I61" t="s">
        <v>452</v>
      </c>
      <c r="J61" t="s">
        <v>8</v>
      </c>
      <c r="M61" t="s">
        <v>14</v>
      </c>
      <c r="N61">
        <v>0</v>
      </c>
      <c r="O61">
        <v>0</v>
      </c>
      <c r="P61">
        <v>0</v>
      </c>
      <c r="Q61">
        <v>0</v>
      </c>
      <c r="R61">
        <v>0</v>
      </c>
      <c r="S61" s="453">
        <v>45862.011805555558</v>
      </c>
      <c r="T61" t="s">
        <v>41</v>
      </c>
      <c r="U61" t="s">
        <v>445</v>
      </c>
      <c r="V61" t="s">
        <v>607</v>
      </c>
    </row>
    <row r="62" spans="1:22">
      <c r="A62">
        <v>7</v>
      </c>
      <c r="B62" s="111">
        <v>45934</v>
      </c>
      <c r="C62" s="453">
        <v>45934.416666666664</v>
      </c>
      <c r="D62" s="453">
        <v>45934.625</v>
      </c>
      <c r="E62" s="453">
        <v>45934.708333333336</v>
      </c>
      <c r="F62" s="453">
        <v>45934.75</v>
      </c>
      <c r="G62" s="453">
        <v>45934.916666666664</v>
      </c>
      <c r="H62" t="s">
        <v>364</v>
      </c>
      <c r="I62" t="s">
        <v>48</v>
      </c>
      <c r="J62" t="s">
        <v>1</v>
      </c>
      <c r="M62" t="s">
        <v>14</v>
      </c>
      <c r="N62">
        <v>0</v>
      </c>
      <c r="O62">
        <v>0</v>
      </c>
      <c r="P62">
        <v>0</v>
      </c>
      <c r="Q62">
        <v>0</v>
      </c>
      <c r="R62">
        <v>0</v>
      </c>
      <c r="S62" s="453">
        <v>45827.017361111109</v>
      </c>
      <c r="T62" t="s">
        <v>41</v>
      </c>
      <c r="U62" t="s">
        <v>445</v>
      </c>
      <c r="V62" t="s">
        <v>607</v>
      </c>
    </row>
    <row r="63" spans="1:22">
      <c r="A63">
        <v>7</v>
      </c>
      <c r="B63" s="111">
        <v>45934</v>
      </c>
      <c r="C63" s="453">
        <v>45934.416666666664</v>
      </c>
      <c r="D63" s="453">
        <v>45934.625</v>
      </c>
      <c r="E63" s="453">
        <v>45934.708333333336</v>
      </c>
      <c r="F63" s="453">
        <v>45934.75</v>
      </c>
      <c r="G63" s="453">
        <v>45934.916666666664</v>
      </c>
      <c r="H63" t="s">
        <v>461</v>
      </c>
      <c r="I63" t="s">
        <v>49</v>
      </c>
      <c r="J63" t="s">
        <v>2</v>
      </c>
      <c r="M63" t="s">
        <v>5</v>
      </c>
      <c r="N63">
        <v>0</v>
      </c>
      <c r="O63">
        <v>0</v>
      </c>
      <c r="P63">
        <v>0</v>
      </c>
      <c r="Q63">
        <v>0</v>
      </c>
      <c r="R63">
        <v>0</v>
      </c>
      <c r="S63" s="453">
        <v>45827.017361111109</v>
      </c>
      <c r="T63" t="s">
        <v>41</v>
      </c>
      <c r="U63" t="s">
        <v>445</v>
      </c>
      <c r="V63" t="s">
        <v>607</v>
      </c>
    </row>
    <row r="64" spans="1:22">
      <c r="A64">
        <v>7</v>
      </c>
      <c r="B64" s="111">
        <v>45934</v>
      </c>
      <c r="C64" s="453">
        <v>45934.416666666664</v>
      </c>
      <c r="D64" s="453">
        <v>45934.625</v>
      </c>
      <c r="E64" s="453">
        <v>45934.708333333336</v>
      </c>
      <c r="F64" s="453">
        <v>45934.75</v>
      </c>
      <c r="G64" s="453">
        <v>45934.916666666664</v>
      </c>
      <c r="H64" t="s">
        <v>394</v>
      </c>
      <c r="I64" t="s">
        <v>43</v>
      </c>
      <c r="J64" t="s">
        <v>3</v>
      </c>
      <c r="M64" t="s">
        <v>108</v>
      </c>
      <c r="N64">
        <v>0</v>
      </c>
      <c r="O64">
        <v>0</v>
      </c>
      <c r="P64">
        <v>0</v>
      </c>
      <c r="Q64">
        <v>0</v>
      </c>
      <c r="R64">
        <v>0</v>
      </c>
      <c r="S64" s="453">
        <v>45827.017361111109</v>
      </c>
      <c r="T64" t="s">
        <v>41</v>
      </c>
      <c r="U64" t="s">
        <v>445</v>
      </c>
      <c r="V64" t="s">
        <v>607</v>
      </c>
    </row>
    <row r="65" spans="1:22">
      <c r="A65">
        <v>7</v>
      </c>
      <c r="B65" s="111">
        <v>45934</v>
      </c>
      <c r="C65" s="453">
        <v>45934.416666666664</v>
      </c>
      <c r="D65" s="453">
        <v>45934.625</v>
      </c>
      <c r="E65" s="453">
        <v>45934.708333333336</v>
      </c>
      <c r="F65" s="453">
        <v>45934.75</v>
      </c>
      <c r="G65" s="453">
        <v>45934.916666666664</v>
      </c>
      <c r="H65" t="s">
        <v>333</v>
      </c>
      <c r="I65" t="s">
        <v>172</v>
      </c>
      <c r="J65" t="s">
        <v>107</v>
      </c>
      <c r="M65" t="s">
        <v>10</v>
      </c>
      <c r="N65">
        <v>0</v>
      </c>
      <c r="O65">
        <v>0</v>
      </c>
      <c r="P65">
        <v>0</v>
      </c>
      <c r="Q65">
        <v>0</v>
      </c>
      <c r="R65">
        <v>0</v>
      </c>
      <c r="S65" s="453">
        <v>45827.017361111109</v>
      </c>
      <c r="T65" t="s">
        <v>41</v>
      </c>
      <c r="U65" t="s">
        <v>445</v>
      </c>
      <c r="V65" t="s">
        <v>607</v>
      </c>
    </row>
    <row r="66" spans="1:22">
      <c r="A66">
        <v>7</v>
      </c>
      <c r="B66" s="111">
        <v>45934</v>
      </c>
      <c r="C66" s="453">
        <v>45934.416666666664</v>
      </c>
      <c r="D66" s="453">
        <v>45934.625</v>
      </c>
      <c r="E66" s="453">
        <v>45934.708333333336</v>
      </c>
      <c r="F66" s="453">
        <v>45934.75</v>
      </c>
      <c r="G66" s="453">
        <v>45934.916666666664</v>
      </c>
      <c r="H66" t="s">
        <v>134</v>
      </c>
      <c r="I66" t="s">
        <v>51</v>
      </c>
      <c r="J66" t="s">
        <v>6</v>
      </c>
      <c r="M66" t="s">
        <v>9</v>
      </c>
      <c r="N66">
        <v>0</v>
      </c>
      <c r="O66">
        <v>0</v>
      </c>
      <c r="P66">
        <v>0</v>
      </c>
      <c r="Q66">
        <v>0</v>
      </c>
      <c r="R66">
        <v>0</v>
      </c>
      <c r="S66" s="453">
        <v>45827.017361111109</v>
      </c>
      <c r="T66" t="s">
        <v>41</v>
      </c>
      <c r="U66" t="s">
        <v>445</v>
      </c>
      <c r="V66" t="s">
        <v>607</v>
      </c>
    </row>
    <row r="67" spans="1:22">
      <c r="A67">
        <v>7</v>
      </c>
      <c r="B67" s="111">
        <v>45934</v>
      </c>
      <c r="C67" s="453">
        <v>45934.416666666664</v>
      </c>
      <c r="D67" s="453">
        <v>45934.625</v>
      </c>
      <c r="E67" s="453">
        <v>45934.708333333336</v>
      </c>
      <c r="F67" s="453">
        <v>45934.75</v>
      </c>
      <c r="G67" s="453">
        <v>45934.916666666664</v>
      </c>
      <c r="H67" t="s">
        <v>147</v>
      </c>
      <c r="I67" t="s">
        <v>452</v>
      </c>
      <c r="J67" t="s">
        <v>8</v>
      </c>
      <c r="M67" t="s">
        <v>7</v>
      </c>
      <c r="N67">
        <v>0</v>
      </c>
      <c r="O67">
        <v>0</v>
      </c>
      <c r="P67">
        <v>0</v>
      </c>
      <c r="Q67">
        <v>0</v>
      </c>
      <c r="R67">
        <v>0</v>
      </c>
      <c r="S67" s="453">
        <v>45827.018055555556</v>
      </c>
      <c r="T67" t="s">
        <v>41</v>
      </c>
      <c r="U67" t="s">
        <v>445</v>
      </c>
      <c r="V67" t="s">
        <v>607</v>
      </c>
    </row>
    <row r="68" spans="1:22">
      <c r="A68">
        <v>7</v>
      </c>
      <c r="B68" s="111">
        <v>45934</v>
      </c>
      <c r="C68" s="453">
        <v>45934.416666666664</v>
      </c>
      <c r="D68" s="453">
        <v>45934.625</v>
      </c>
      <c r="E68" s="453">
        <v>45934.708333333336</v>
      </c>
      <c r="F68" s="453">
        <v>45934.75</v>
      </c>
      <c r="G68" s="453">
        <v>45934.916666666664</v>
      </c>
      <c r="H68" t="s">
        <v>520</v>
      </c>
      <c r="I68" t="s">
        <v>449</v>
      </c>
      <c r="J68" t="s">
        <v>444</v>
      </c>
      <c r="M68" t="s">
        <v>13</v>
      </c>
      <c r="N68">
        <v>0</v>
      </c>
      <c r="O68">
        <v>0</v>
      </c>
      <c r="P68">
        <v>0</v>
      </c>
      <c r="Q68">
        <v>0</v>
      </c>
      <c r="R68">
        <v>0</v>
      </c>
      <c r="S68" s="453">
        <v>45827.018055555556</v>
      </c>
      <c r="T68" t="s">
        <v>41</v>
      </c>
      <c r="U68" t="s">
        <v>445</v>
      </c>
      <c r="V68" t="s">
        <v>607</v>
      </c>
    </row>
    <row r="69" spans="1:22">
      <c r="A69">
        <v>7</v>
      </c>
      <c r="B69" s="111">
        <v>45934</v>
      </c>
      <c r="C69" s="453">
        <v>45934.416666666664</v>
      </c>
      <c r="D69" s="453">
        <v>45934.625</v>
      </c>
      <c r="E69" s="453">
        <v>45934.708333333336</v>
      </c>
      <c r="F69" s="453">
        <v>45934.75</v>
      </c>
      <c r="G69" s="453">
        <v>45934.916666666664</v>
      </c>
      <c r="H69" t="s">
        <v>462</v>
      </c>
      <c r="I69" t="s">
        <v>47</v>
      </c>
      <c r="J69" t="s">
        <v>11</v>
      </c>
      <c r="M69" t="s">
        <v>443</v>
      </c>
      <c r="N69">
        <v>0</v>
      </c>
      <c r="O69">
        <v>0</v>
      </c>
      <c r="P69">
        <v>0</v>
      </c>
      <c r="Q69">
        <v>0</v>
      </c>
      <c r="R69">
        <v>0</v>
      </c>
      <c r="S69" s="453">
        <v>45827.018055555556</v>
      </c>
      <c r="T69" t="s">
        <v>41</v>
      </c>
      <c r="U69" t="s">
        <v>445</v>
      </c>
      <c r="V69" t="s">
        <v>607</v>
      </c>
    </row>
    <row r="70" spans="1:22">
      <c r="A70">
        <v>7</v>
      </c>
      <c r="B70" s="111">
        <v>45934</v>
      </c>
      <c r="C70" s="453">
        <v>45934.416666666664</v>
      </c>
      <c r="D70" s="453">
        <v>45934.625</v>
      </c>
      <c r="E70" s="453">
        <v>45934.708333333336</v>
      </c>
      <c r="F70" s="453">
        <v>45934.75</v>
      </c>
      <c r="G70" s="453">
        <v>45934.916666666664</v>
      </c>
      <c r="H70" t="s">
        <v>368</v>
      </c>
      <c r="I70" t="s">
        <v>46</v>
      </c>
      <c r="J70" t="s">
        <v>12</v>
      </c>
      <c r="M70" t="s">
        <v>188</v>
      </c>
      <c r="N70">
        <v>0</v>
      </c>
      <c r="O70">
        <v>0</v>
      </c>
      <c r="P70">
        <v>0</v>
      </c>
      <c r="Q70">
        <v>0</v>
      </c>
      <c r="R70">
        <v>0</v>
      </c>
      <c r="S70" s="453">
        <v>45827.018055555556</v>
      </c>
      <c r="T70" t="s">
        <v>41</v>
      </c>
      <c r="U70" t="s">
        <v>445</v>
      </c>
      <c r="V70" t="s">
        <v>607</v>
      </c>
    </row>
    <row r="71" spans="1:22">
      <c r="A71">
        <v>7</v>
      </c>
      <c r="B71" s="111">
        <v>45934</v>
      </c>
      <c r="C71" s="453">
        <v>45934.416666666664</v>
      </c>
      <c r="D71" s="453">
        <v>45934.625</v>
      </c>
      <c r="E71" s="453">
        <v>45934.708333333336</v>
      </c>
      <c r="F71" s="453">
        <v>45934.75</v>
      </c>
      <c r="G71" s="453">
        <v>45934.916666666664</v>
      </c>
      <c r="H71" t="s">
        <v>421</v>
      </c>
      <c r="I71" t="s">
        <v>52</v>
      </c>
      <c r="J71" t="s">
        <v>15</v>
      </c>
      <c r="M71" t="s">
        <v>4</v>
      </c>
      <c r="N71">
        <v>0</v>
      </c>
      <c r="O71">
        <v>0</v>
      </c>
      <c r="P71">
        <v>0</v>
      </c>
      <c r="Q71">
        <v>0</v>
      </c>
      <c r="R71">
        <v>0</v>
      </c>
      <c r="S71" s="453">
        <v>45827.018055555556</v>
      </c>
      <c r="T71" t="s">
        <v>41</v>
      </c>
      <c r="U71" t="s">
        <v>445</v>
      </c>
      <c r="V71" t="s">
        <v>607</v>
      </c>
    </row>
    <row r="72" spans="1:22">
      <c r="A72">
        <v>8</v>
      </c>
      <c r="B72" s="111">
        <v>45948</v>
      </c>
      <c r="C72" s="453">
        <v>45948.416666666664</v>
      </c>
      <c r="D72" s="453">
        <v>45948.625</v>
      </c>
      <c r="E72" s="453">
        <v>45948.708333333336</v>
      </c>
      <c r="F72" s="453">
        <v>45948.75</v>
      </c>
      <c r="G72" s="453">
        <v>45948.916666666664</v>
      </c>
      <c r="H72" t="s">
        <v>413</v>
      </c>
      <c r="I72" t="s">
        <v>217</v>
      </c>
      <c r="J72" t="s">
        <v>4</v>
      </c>
      <c r="M72" t="s">
        <v>12</v>
      </c>
      <c r="N72">
        <v>0</v>
      </c>
      <c r="O72">
        <v>0</v>
      </c>
      <c r="P72">
        <v>0</v>
      </c>
      <c r="Q72">
        <v>0</v>
      </c>
      <c r="R72">
        <v>0</v>
      </c>
      <c r="S72" s="453">
        <v>45827.018055555556</v>
      </c>
      <c r="T72" t="s">
        <v>41</v>
      </c>
      <c r="U72" t="s">
        <v>445</v>
      </c>
      <c r="V72" t="s">
        <v>607</v>
      </c>
    </row>
    <row r="73" spans="1:22">
      <c r="A73">
        <v>8</v>
      </c>
      <c r="B73" s="111">
        <v>45948</v>
      </c>
      <c r="C73" s="453">
        <v>45948.416666666664</v>
      </c>
      <c r="D73" s="453">
        <v>45948.625</v>
      </c>
      <c r="E73" s="453">
        <v>45948.708333333336</v>
      </c>
      <c r="F73" s="453">
        <v>45948.75</v>
      </c>
      <c r="G73" s="453">
        <v>45948.916666666664</v>
      </c>
      <c r="H73" t="s">
        <v>521</v>
      </c>
      <c r="I73" t="s">
        <v>451</v>
      </c>
      <c r="J73" t="s">
        <v>5</v>
      </c>
      <c r="M73" t="s">
        <v>444</v>
      </c>
      <c r="N73">
        <v>0</v>
      </c>
      <c r="O73">
        <v>0</v>
      </c>
      <c r="P73">
        <v>0</v>
      </c>
      <c r="Q73">
        <v>0</v>
      </c>
      <c r="R73">
        <v>0</v>
      </c>
      <c r="S73" s="453">
        <v>45827.018055555556</v>
      </c>
      <c r="T73" t="s">
        <v>41</v>
      </c>
      <c r="U73" t="s">
        <v>445</v>
      </c>
      <c r="V73" t="s">
        <v>607</v>
      </c>
    </row>
    <row r="74" spans="1:22">
      <c r="A74">
        <v>8</v>
      </c>
      <c r="B74" s="111">
        <v>45948</v>
      </c>
      <c r="C74" s="453">
        <v>45948.416666666664</v>
      </c>
      <c r="D74" s="453">
        <v>45948.625</v>
      </c>
      <c r="E74" s="453">
        <v>45948.708333333336</v>
      </c>
      <c r="F74" s="453">
        <v>45948.75</v>
      </c>
      <c r="G74" s="453">
        <v>45948.916666666664</v>
      </c>
      <c r="H74" t="s">
        <v>402</v>
      </c>
      <c r="I74" t="s">
        <v>44</v>
      </c>
      <c r="J74" t="s">
        <v>7</v>
      </c>
      <c r="M74" t="s">
        <v>3</v>
      </c>
      <c r="N74">
        <v>0</v>
      </c>
      <c r="O74">
        <v>0</v>
      </c>
      <c r="P74">
        <v>0</v>
      </c>
      <c r="Q74">
        <v>0</v>
      </c>
      <c r="R74">
        <v>0</v>
      </c>
      <c r="S74" s="453">
        <v>45827.018055555556</v>
      </c>
      <c r="T74" t="s">
        <v>41</v>
      </c>
      <c r="U74" t="s">
        <v>445</v>
      </c>
      <c r="V74" t="s">
        <v>607</v>
      </c>
    </row>
    <row r="75" spans="1:22">
      <c r="A75">
        <v>8</v>
      </c>
      <c r="B75" s="111">
        <v>45948</v>
      </c>
      <c r="C75" s="453">
        <v>45948.416666666664</v>
      </c>
      <c r="D75" s="453">
        <v>45948.625</v>
      </c>
      <c r="E75" s="453">
        <v>45948.708333333336</v>
      </c>
      <c r="F75" s="453">
        <v>45948.75</v>
      </c>
      <c r="G75" s="453">
        <v>45948.916666666664</v>
      </c>
      <c r="H75" t="s">
        <v>167</v>
      </c>
      <c r="I75" t="s">
        <v>157</v>
      </c>
      <c r="J75" t="s">
        <v>108</v>
      </c>
      <c r="M75" t="s">
        <v>1</v>
      </c>
      <c r="N75">
        <v>0</v>
      </c>
      <c r="O75">
        <v>0</v>
      </c>
      <c r="P75">
        <v>0</v>
      </c>
      <c r="Q75">
        <v>0</v>
      </c>
      <c r="R75">
        <v>0</v>
      </c>
      <c r="S75" s="453">
        <v>45827.018055555556</v>
      </c>
      <c r="T75" t="s">
        <v>41</v>
      </c>
      <c r="U75" t="s">
        <v>445</v>
      </c>
      <c r="V75" t="s">
        <v>607</v>
      </c>
    </row>
    <row r="76" spans="1:22">
      <c r="A76">
        <v>8</v>
      </c>
      <c r="B76" s="111">
        <v>45948</v>
      </c>
      <c r="C76" s="453">
        <v>45948.416666666664</v>
      </c>
      <c r="D76" s="453">
        <v>45948.625</v>
      </c>
      <c r="E76" s="453">
        <v>45948.708333333336</v>
      </c>
      <c r="F76" s="453">
        <v>45948.75</v>
      </c>
      <c r="G76" s="453">
        <v>45948.916666666664</v>
      </c>
      <c r="H76" t="s">
        <v>331</v>
      </c>
      <c r="I76" t="s">
        <v>40</v>
      </c>
      <c r="J76" t="s">
        <v>9</v>
      </c>
      <c r="M76" t="s">
        <v>11</v>
      </c>
      <c r="N76">
        <v>0</v>
      </c>
      <c r="O76">
        <v>0</v>
      </c>
      <c r="P76">
        <v>0</v>
      </c>
      <c r="Q76">
        <v>0</v>
      </c>
      <c r="R76">
        <v>0</v>
      </c>
      <c r="S76" s="453">
        <v>45827.018055555556</v>
      </c>
      <c r="T76" t="s">
        <v>41</v>
      </c>
      <c r="U76" t="s">
        <v>445</v>
      </c>
      <c r="V76" t="s">
        <v>607</v>
      </c>
    </row>
    <row r="77" spans="1:22">
      <c r="A77">
        <v>8</v>
      </c>
      <c r="B77" s="111">
        <v>45948</v>
      </c>
      <c r="C77" s="453">
        <v>45948.416666666664</v>
      </c>
      <c r="D77" s="453">
        <v>45948.625</v>
      </c>
      <c r="E77" s="453">
        <v>45948.708333333336</v>
      </c>
      <c r="F77" s="453">
        <v>45948.75</v>
      </c>
      <c r="G77" s="453">
        <v>45948.916666666664</v>
      </c>
      <c r="H77" t="s">
        <v>315</v>
      </c>
      <c r="I77" t="s">
        <v>50</v>
      </c>
      <c r="J77" t="s">
        <v>10</v>
      </c>
      <c r="M77" t="s">
        <v>8</v>
      </c>
      <c r="N77">
        <v>0</v>
      </c>
      <c r="O77">
        <v>0</v>
      </c>
      <c r="P77">
        <v>0</v>
      </c>
      <c r="Q77">
        <v>0</v>
      </c>
      <c r="R77">
        <v>0</v>
      </c>
      <c r="S77" s="453">
        <v>45827.018055555556</v>
      </c>
      <c r="T77" t="s">
        <v>41</v>
      </c>
      <c r="U77" t="s">
        <v>445</v>
      </c>
      <c r="V77" t="s">
        <v>607</v>
      </c>
    </row>
    <row r="78" spans="1:22">
      <c r="A78">
        <v>8</v>
      </c>
      <c r="B78" s="111">
        <v>45948</v>
      </c>
      <c r="C78" s="453">
        <v>45948.416666666664</v>
      </c>
      <c r="D78" s="453">
        <v>45948.625</v>
      </c>
      <c r="E78" s="453">
        <v>45948.708333333336</v>
      </c>
      <c r="F78" s="453">
        <v>45948.75</v>
      </c>
      <c r="G78" s="453">
        <v>45948.916666666664</v>
      </c>
      <c r="H78" t="s">
        <v>432</v>
      </c>
      <c r="I78" t="s">
        <v>158</v>
      </c>
      <c r="J78" t="s">
        <v>188</v>
      </c>
      <c r="M78" t="s">
        <v>6</v>
      </c>
      <c r="N78">
        <v>0</v>
      </c>
      <c r="O78">
        <v>0</v>
      </c>
      <c r="P78">
        <v>0</v>
      </c>
      <c r="Q78">
        <v>0</v>
      </c>
      <c r="R78">
        <v>0</v>
      </c>
      <c r="S78" s="453">
        <v>45827.018055555556</v>
      </c>
      <c r="T78" t="s">
        <v>41</v>
      </c>
      <c r="U78" t="s">
        <v>445</v>
      </c>
      <c r="V78" t="s">
        <v>607</v>
      </c>
    </row>
    <row r="79" spans="1:22">
      <c r="A79">
        <v>8</v>
      </c>
      <c r="B79" s="111">
        <v>45948</v>
      </c>
      <c r="C79" s="453">
        <v>45948.416666666664</v>
      </c>
      <c r="D79" s="453">
        <v>45948.625</v>
      </c>
      <c r="E79" s="453">
        <v>45948.708333333336</v>
      </c>
      <c r="F79" s="453">
        <v>45948.75</v>
      </c>
      <c r="G79" s="453">
        <v>45948.916666666664</v>
      </c>
      <c r="H79" t="s">
        <v>278</v>
      </c>
      <c r="I79" t="s">
        <v>45</v>
      </c>
      <c r="J79" t="s">
        <v>13</v>
      </c>
      <c r="M79" t="s">
        <v>2</v>
      </c>
      <c r="N79">
        <v>0</v>
      </c>
      <c r="O79">
        <v>0</v>
      </c>
      <c r="P79">
        <v>0</v>
      </c>
      <c r="Q79">
        <v>0</v>
      </c>
      <c r="R79">
        <v>0</v>
      </c>
      <c r="S79" s="453">
        <v>45827.018055555556</v>
      </c>
      <c r="T79" t="s">
        <v>41</v>
      </c>
      <c r="U79" t="s">
        <v>445</v>
      </c>
      <c r="V79" t="s">
        <v>607</v>
      </c>
    </row>
    <row r="80" spans="1:22">
      <c r="A80">
        <v>8</v>
      </c>
      <c r="B80" s="111">
        <v>45948</v>
      </c>
      <c r="C80" s="453">
        <v>45948.416666666664</v>
      </c>
      <c r="D80" s="453">
        <v>45948.625</v>
      </c>
      <c r="E80" s="453">
        <v>45948.708333333336</v>
      </c>
      <c r="F80" s="453">
        <v>45948.75</v>
      </c>
      <c r="G80" s="453">
        <v>45948.916666666664</v>
      </c>
      <c r="H80" t="s">
        <v>463</v>
      </c>
      <c r="I80" t="s">
        <v>448</v>
      </c>
      <c r="J80" t="s">
        <v>443</v>
      </c>
      <c r="M80" t="s">
        <v>15</v>
      </c>
      <c r="N80">
        <v>0</v>
      </c>
      <c r="O80">
        <v>0</v>
      </c>
      <c r="P80">
        <v>0</v>
      </c>
      <c r="Q80">
        <v>0</v>
      </c>
      <c r="R80">
        <v>0</v>
      </c>
      <c r="S80" s="453">
        <v>45827.018055555556</v>
      </c>
      <c r="T80" t="s">
        <v>41</v>
      </c>
      <c r="U80" t="s">
        <v>445</v>
      </c>
      <c r="V80" t="s">
        <v>607</v>
      </c>
    </row>
    <row r="81" spans="1:22">
      <c r="A81">
        <v>8</v>
      </c>
      <c r="B81" s="111">
        <v>45948</v>
      </c>
      <c r="C81" s="453">
        <v>45948.416666666664</v>
      </c>
      <c r="D81" s="453">
        <v>45948.625</v>
      </c>
      <c r="E81" s="453">
        <v>45948.708333333336</v>
      </c>
      <c r="F81" s="453">
        <v>45948.75</v>
      </c>
      <c r="G81" s="453">
        <v>45948.916666666664</v>
      </c>
      <c r="H81" t="s">
        <v>363</v>
      </c>
      <c r="I81" t="s">
        <v>42</v>
      </c>
      <c r="J81" t="s">
        <v>14</v>
      </c>
      <c r="M81" t="s">
        <v>107</v>
      </c>
      <c r="N81">
        <v>0</v>
      </c>
      <c r="O81">
        <v>0</v>
      </c>
      <c r="P81">
        <v>0</v>
      </c>
      <c r="Q81">
        <v>0</v>
      </c>
      <c r="R81">
        <v>0</v>
      </c>
      <c r="S81" s="453">
        <v>45827.018055555556</v>
      </c>
      <c r="T81" t="s">
        <v>41</v>
      </c>
      <c r="U81" t="s">
        <v>445</v>
      </c>
      <c r="V81" t="s">
        <v>607</v>
      </c>
    </row>
    <row r="82" spans="1:22">
      <c r="A82">
        <v>9</v>
      </c>
      <c r="B82" s="111">
        <v>45955</v>
      </c>
      <c r="C82" s="453">
        <v>45955.416666666664</v>
      </c>
      <c r="D82" s="453">
        <v>45955.625</v>
      </c>
      <c r="E82" s="453">
        <v>45955.708333333336</v>
      </c>
      <c r="F82" s="453">
        <v>45955.75</v>
      </c>
      <c r="G82" s="453">
        <v>45955.916666666664</v>
      </c>
      <c r="H82" t="s">
        <v>121</v>
      </c>
      <c r="I82" t="s">
        <v>48</v>
      </c>
      <c r="J82" t="s">
        <v>1</v>
      </c>
      <c r="M82" t="s">
        <v>7</v>
      </c>
      <c r="N82">
        <v>0</v>
      </c>
      <c r="O82">
        <v>0</v>
      </c>
      <c r="P82">
        <v>0</v>
      </c>
      <c r="Q82">
        <v>0</v>
      </c>
      <c r="R82">
        <v>0</v>
      </c>
      <c r="S82" s="453">
        <v>45827.018055555556</v>
      </c>
      <c r="T82" t="s">
        <v>41</v>
      </c>
      <c r="U82" t="s">
        <v>445</v>
      </c>
      <c r="V82" t="s">
        <v>607</v>
      </c>
    </row>
    <row r="83" spans="1:22">
      <c r="A83">
        <v>9</v>
      </c>
      <c r="B83" s="111">
        <v>45955</v>
      </c>
      <c r="C83" s="453">
        <v>45955.416666666664</v>
      </c>
      <c r="D83" s="453">
        <v>45955.625</v>
      </c>
      <c r="E83" s="453">
        <v>45955.708333333336</v>
      </c>
      <c r="F83" s="453">
        <v>45955.75</v>
      </c>
      <c r="G83" s="453">
        <v>45955.916666666664</v>
      </c>
      <c r="H83" t="s">
        <v>310</v>
      </c>
      <c r="I83" t="s">
        <v>49</v>
      </c>
      <c r="J83" t="s">
        <v>2</v>
      </c>
      <c r="M83" t="s">
        <v>10</v>
      </c>
      <c r="N83">
        <v>0</v>
      </c>
      <c r="O83">
        <v>0</v>
      </c>
      <c r="P83">
        <v>0</v>
      </c>
      <c r="Q83">
        <v>0</v>
      </c>
      <c r="R83">
        <v>0</v>
      </c>
      <c r="S83" s="453">
        <v>45827.018055555556</v>
      </c>
      <c r="T83" t="s">
        <v>41</v>
      </c>
      <c r="U83" t="s">
        <v>445</v>
      </c>
      <c r="V83" t="s">
        <v>607</v>
      </c>
    </row>
    <row r="84" spans="1:22">
      <c r="A84">
        <v>9</v>
      </c>
      <c r="B84" s="111">
        <v>45955</v>
      </c>
      <c r="C84" s="453">
        <v>45955.416666666664</v>
      </c>
      <c r="D84" s="453">
        <v>45955.625</v>
      </c>
      <c r="E84" s="453">
        <v>45955.708333333336</v>
      </c>
      <c r="F84" s="453">
        <v>45955.75</v>
      </c>
      <c r="G84" s="453">
        <v>45955.916666666664</v>
      </c>
      <c r="H84" t="s">
        <v>344</v>
      </c>
      <c r="I84" t="s">
        <v>43</v>
      </c>
      <c r="J84" t="s">
        <v>3</v>
      </c>
      <c r="M84" t="s">
        <v>188</v>
      </c>
      <c r="N84">
        <v>0</v>
      </c>
      <c r="O84">
        <v>0</v>
      </c>
      <c r="P84">
        <v>0</v>
      </c>
      <c r="Q84">
        <v>0</v>
      </c>
      <c r="R84">
        <v>0</v>
      </c>
      <c r="S84" s="453">
        <v>45827.018055555556</v>
      </c>
      <c r="T84" t="s">
        <v>41</v>
      </c>
      <c r="U84" t="s">
        <v>445</v>
      </c>
      <c r="V84" t="s">
        <v>607</v>
      </c>
    </row>
    <row r="85" spans="1:22">
      <c r="A85">
        <v>9</v>
      </c>
      <c r="B85" s="111">
        <v>45955</v>
      </c>
      <c r="C85" s="453">
        <v>45955.416666666664</v>
      </c>
      <c r="D85" s="453">
        <v>45955.625</v>
      </c>
      <c r="E85" s="453">
        <v>45955.708333333336</v>
      </c>
      <c r="F85" s="453">
        <v>45955.75</v>
      </c>
      <c r="G85" s="453">
        <v>45955.916666666664</v>
      </c>
      <c r="H85" t="s">
        <v>120</v>
      </c>
      <c r="I85" t="s">
        <v>172</v>
      </c>
      <c r="J85" t="s">
        <v>107</v>
      </c>
      <c r="M85" t="s">
        <v>9</v>
      </c>
      <c r="N85">
        <v>0</v>
      </c>
      <c r="O85">
        <v>0</v>
      </c>
      <c r="P85">
        <v>0</v>
      </c>
      <c r="Q85">
        <v>0</v>
      </c>
      <c r="R85">
        <v>0</v>
      </c>
      <c r="S85" s="453">
        <v>45827.018055555556</v>
      </c>
      <c r="T85" t="s">
        <v>41</v>
      </c>
      <c r="U85" t="s">
        <v>445</v>
      </c>
      <c r="V85" t="s">
        <v>607</v>
      </c>
    </row>
    <row r="86" spans="1:22">
      <c r="A86">
        <v>9</v>
      </c>
      <c r="B86" s="111">
        <v>45955</v>
      </c>
      <c r="C86" s="453">
        <v>45955.416666666664</v>
      </c>
      <c r="D86" s="453">
        <v>45955.625</v>
      </c>
      <c r="E86" s="453">
        <v>45955.708333333336</v>
      </c>
      <c r="F86" s="453">
        <v>45955.75</v>
      </c>
      <c r="G86" s="453">
        <v>45955.916666666664</v>
      </c>
      <c r="H86" t="s">
        <v>464</v>
      </c>
      <c r="I86" t="s">
        <v>51</v>
      </c>
      <c r="J86" t="s">
        <v>6</v>
      </c>
      <c r="M86" t="s">
        <v>443</v>
      </c>
      <c r="N86">
        <v>0</v>
      </c>
      <c r="O86">
        <v>0</v>
      </c>
      <c r="P86">
        <v>0</v>
      </c>
      <c r="Q86">
        <v>0</v>
      </c>
      <c r="R86">
        <v>0</v>
      </c>
      <c r="S86" s="453">
        <v>45827.018055555556</v>
      </c>
      <c r="T86" t="s">
        <v>41</v>
      </c>
      <c r="U86" t="s">
        <v>445</v>
      </c>
      <c r="V86" t="s">
        <v>607</v>
      </c>
    </row>
    <row r="87" spans="1:22">
      <c r="A87">
        <v>9</v>
      </c>
      <c r="B87" s="111">
        <v>45955</v>
      </c>
      <c r="C87" s="453">
        <v>45955.416666666664</v>
      </c>
      <c r="D87" s="453">
        <v>45955.625</v>
      </c>
      <c r="E87" s="453">
        <v>45955.708333333336</v>
      </c>
      <c r="F87" s="453">
        <v>45955.75</v>
      </c>
      <c r="G87" s="453">
        <v>45955.916666666664</v>
      </c>
      <c r="H87" t="s">
        <v>341</v>
      </c>
      <c r="I87" t="s">
        <v>452</v>
      </c>
      <c r="J87" t="s">
        <v>8</v>
      </c>
      <c r="M87" t="s">
        <v>13</v>
      </c>
      <c r="N87">
        <v>0</v>
      </c>
      <c r="O87">
        <v>0</v>
      </c>
      <c r="P87">
        <v>0</v>
      </c>
      <c r="Q87">
        <v>0</v>
      </c>
      <c r="R87">
        <v>0</v>
      </c>
      <c r="S87" s="453">
        <v>45827.018055555556</v>
      </c>
      <c r="T87" t="s">
        <v>41</v>
      </c>
      <c r="U87" t="s">
        <v>445</v>
      </c>
      <c r="V87" t="s">
        <v>607</v>
      </c>
    </row>
    <row r="88" spans="1:22">
      <c r="A88">
        <v>9</v>
      </c>
      <c r="B88" s="111">
        <v>45955</v>
      </c>
      <c r="C88" s="453">
        <v>45955.416666666664</v>
      </c>
      <c r="D88" s="453">
        <v>45955.625</v>
      </c>
      <c r="E88" s="453">
        <v>45955.708333333336</v>
      </c>
      <c r="F88" s="453">
        <v>45955.75</v>
      </c>
      <c r="G88" s="453">
        <v>45955.916666666664</v>
      </c>
      <c r="H88" t="s">
        <v>522</v>
      </c>
      <c r="I88" t="s">
        <v>449</v>
      </c>
      <c r="J88" t="s">
        <v>444</v>
      </c>
      <c r="M88" t="s">
        <v>14</v>
      </c>
      <c r="N88">
        <v>0</v>
      </c>
      <c r="O88">
        <v>0</v>
      </c>
      <c r="P88">
        <v>0</v>
      </c>
      <c r="Q88">
        <v>0</v>
      </c>
      <c r="R88">
        <v>0</v>
      </c>
      <c r="S88" s="453">
        <v>45827.018055555556</v>
      </c>
      <c r="T88" t="s">
        <v>41</v>
      </c>
      <c r="U88" t="s">
        <v>445</v>
      </c>
      <c r="V88" t="s">
        <v>607</v>
      </c>
    </row>
    <row r="89" spans="1:22">
      <c r="A89">
        <v>9</v>
      </c>
      <c r="B89" s="111">
        <v>45955</v>
      </c>
      <c r="C89" s="453">
        <v>45955.416666666664</v>
      </c>
      <c r="D89" s="453">
        <v>45955.625</v>
      </c>
      <c r="E89" s="453">
        <v>45955.708333333336</v>
      </c>
      <c r="F89" s="453">
        <v>45955.75</v>
      </c>
      <c r="G89" s="453">
        <v>45955.916666666664</v>
      </c>
      <c r="H89" t="s">
        <v>342</v>
      </c>
      <c r="I89" t="s">
        <v>47</v>
      </c>
      <c r="J89" t="s">
        <v>11</v>
      </c>
      <c r="M89" t="s">
        <v>4</v>
      </c>
      <c r="N89">
        <v>0</v>
      </c>
      <c r="O89">
        <v>0</v>
      </c>
      <c r="P89">
        <v>0</v>
      </c>
      <c r="Q89">
        <v>0</v>
      </c>
      <c r="R89">
        <v>0</v>
      </c>
      <c r="S89" s="453">
        <v>45827.018055555556</v>
      </c>
      <c r="T89" t="s">
        <v>41</v>
      </c>
      <c r="U89" t="s">
        <v>445</v>
      </c>
      <c r="V89" t="s">
        <v>607</v>
      </c>
    </row>
    <row r="90" spans="1:22">
      <c r="A90">
        <v>9</v>
      </c>
      <c r="B90" s="111">
        <v>45955</v>
      </c>
      <c r="C90" s="453">
        <v>45955.416666666664</v>
      </c>
      <c r="D90" s="453">
        <v>45955.625</v>
      </c>
      <c r="E90" s="453">
        <v>45955.708333333336</v>
      </c>
      <c r="F90" s="453">
        <v>45955.75</v>
      </c>
      <c r="G90" s="453">
        <v>45955.916666666664</v>
      </c>
      <c r="H90" t="s">
        <v>355</v>
      </c>
      <c r="I90" t="s">
        <v>46</v>
      </c>
      <c r="J90" t="s">
        <v>12</v>
      </c>
      <c r="M90" t="s">
        <v>108</v>
      </c>
      <c r="N90">
        <v>0</v>
      </c>
      <c r="O90">
        <v>0</v>
      </c>
      <c r="P90">
        <v>0</v>
      </c>
      <c r="Q90">
        <v>0</v>
      </c>
      <c r="R90">
        <v>0</v>
      </c>
      <c r="S90" s="453">
        <v>45827.018055555556</v>
      </c>
      <c r="T90" t="s">
        <v>41</v>
      </c>
      <c r="U90" t="s">
        <v>445</v>
      </c>
      <c r="V90" t="s">
        <v>607</v>
      </c>
    </row>
    <row r="91" spans="1:22">
      <c r="A91">
        <v>9</v>
      </c>
      <c r="B91" s="111">
        <v>45955</v>
      </c>
      <c r="C91" s="453">
        <v>45955.416666666664</v>
      </c>
      <c r="D91" s="453">
        <v>45955.625</v>
      </c>
      <c r="E91" s="453">
        <v>45955.708333333336</v>
      </c>
      <c r="F91" s="453">
        <v>45955.75</v>
      </c>
      <c r="G91" s="453">
        <v>45955.916666666664</v>
      </c>
      <c r="H91" t="s">
        <v>465</v>
      </c>
      <c r="I91" t="s">
        <v>52</v>
      </c>
      <c r="J91" t="s">
        <v>15</v>
      </c>
      <c r="M91" t="s">
        <v>5</v>
      </c>
      <c r="N91">
        <v>0</v>
      </c>
      <c r="O91">
        <v>0</v>
      </c>
      <c r="P91">
        <v>0</v>
      </c>
      <c r="Q91">
        <v>0</v>
      </c>
      <c r="R91">
        <v>0</v>
      </c>
      <c r="S91" s="453">
        <v>45827.018055555556</v>
      </c>
      <c r="T91" t="s">
        <v>41</v>
      </c>
      <c r="U91" t="s">
        <v>445</v>
      </c>
      <c r="V91" t="s">
        <v>607</v>
      </c>
    </row>
    <row r="92" spans="1:22">
      <c r="A92">
        <v>10</v>
      </c>
      <c r="B92" s="111">
        <v>45962</v>
      </c>
      <c r="C92" s="453">
        <v>45962.458333333336</v>
      </c>
      <c r="D92" s="453">
        <v>45962.625</v>
      </c>
      <c r="E92" s="453">
        <v>45962.75</v>
      </c>
      <c r="F92" s="453">
        <v>45962.791666666664</v>
      </c>
      <c r="G92" s="453">
        <v>45962.958333333336</v>
      </c>
      <c r="H92" t="s">
        <v>523</v>
      </c>
      <c r="I92" t="s">
        <v>217</v>
      </c>
      <c r="J92" t="s">
        <v>4</v>
      </c>
      <c r="M92" t="s">
        <v>444</v>
      </c>
      <c r="N92">
        <v>0</v>
      </c>
      <c r="O92">
        <v>0</v>
      </c>
      <c r="P92">
        <v>0</v>
      </c>
      <c r="Q92">
        <v>0</v>
      </c>
      <c r="R92">
        <v>0</v>
      </c>
      <c r="S92" s="453">
        <v>45827.018750000003</v>
      </c>
      <c r="T92" t="s">
        <v>41</v>
      </c>
      <c r="U92" t="s">
        <v>445</v>
      </c>
      <c r="V92" t="s">
        <v>607</v>
      </c>
    </row>
    <row r="93" spans="1:22">
      <c r="A93">
        <v>10</v>
      </c>
      <c r="B93" s="111">
        <v>45962</v>
      </c>
      <c r="C93" s="453">
        <v>45962.458333333336</v>
      </c>
      <c r="D93" s="453">
        <v>45962.625</v>
      </c>
      <c r="E93" s="453">
        <v>45962.75</v>
      </c>
      <c r="F93" s="453">
        <v>45962.791666666664</v>
      </c>
      <c r="G93" s="453">
        <v>45962.958333333336</v>
      </c>
      <c r="H93" t="s">
        <v>466</v>
      </c>
      <c r="I93" t="s">
        <v>451</v>
      </c>
      <c r="J93" t="s">
        <v>5</v>
      </c>
      <c r="M93" t="s">
        <v>1</v>
      </c>
      <c r="N93">
        <v>0</v>
      </c>
      <c r="O93">
        <v>0</v>
      </c>
      <c r="P93">
        <v>0</v>
      </c>
      <c r="Q93">
        <v>0</v>
      </c>
      <c r="R93">
        <v>0</v>
      </c>
      <c r="S93" s="453">
        <v>45827.018750000003</v>
      </c>
      <c r="T93" t="s">
        <v>41</v>
      </c>
      <c r="U93" t="s">
        <v>445</v>
      </c>
      <c r="V93" t="s">
        <v>607</v>
      </c>
    </row>
    <row r="94" spans="1:22">
      <c r="A94">
        <v>10</v>
      </c>
      <c r="B94" s="111">
        <v>45962</v>
      </c>
      <c r="C94" s="453">
        <v>45962.458333333336</v>
      </c>
      <c r="D94" s="453">
        <v>45962.625</v>
      </c>
      <c r="E94" s="453">
        <v>45962.75</v>
      </c>
      <c r="F94" s="453">
        <v>45962.791666666664</v>
      </c>
      <c r="G94" s="453">
        <v>45962.958333333336</v>
      </c>
      <c r="H94" t="s">
        <v>113</v>
      </c>
      <c r="I94" t="s">
        <v>44</v>
      </c>
      <c r="J94" t="s">
        <v>7</v>
      </c>
      <c r="M94" t="s">
        <v>107</v>
      </c>
      <c r="N94">
        <v>0</v>
      </c>
      <c r="O94">
        <v>0</v>
      </c>
      <c r="P94">
        <v>0</v>
      </c>
      <c r="Q94">
        <v>0</v>
      </c>
      <c r="R94">
        <v>0</v>
      </c>
      <c r="S94" s="453">
        <v>45827.018750000003</v>
      </c>
      <c r="T94" t="s">
        <v>41</v>
      </c>
      <c r="U94" t="s">
        <v>445</v>
      </c>
      <c r="V94" t="s">
        <v>607</v>
      </c>
    </row>
    <row r="95" spans="1:22">
      <c r="A95">
        <v>10</v>
      </c>
      <c r="B95" s="111">
        <v>45962</v>
      </c>
      <c r="C95" s="453">
        <v>45962.458333333336</v>
      </c>
      <c r="D95" s="453">
        <v>45962.625</v>
      </c>
      <c r="E95" s="453">
        <v>45962.75</v>
      </c>
      <c r="F95" s="453">
        <v>45962.791666666664</v>
      </c>
      <c r="G95" s="453">
        <v>45962.958333333336</v>
      </c>
      <c r="H95" t="s">
        <v>286</v>
      </c>
      <c r="I95" t="s">
        <v>157</v>
      </c>
      <c r="J95" t="s">
        <v>108</v>
      </c>
      <c r="M95" t="s">
        <v>15</v>
      </c>
      <c r="N95">
        <v>0</v>
      </c>
      <c r="O95">
        <v>0</v>
      </c>
      <c r="P95">
        <v>0</v>
      </c>
      <c r="Q95">
        <v>0</v>
      </c>
      <c r="R95">
        <v>0</v>
      </c>
      <c r="S95" s="453">
        <v>45827.018750000003</v>
      </c>
      <c r="T95" t="s">
        <v>41</v>
      </c>
      <c r="U95" t="s">
        <v>445</v>
      </c>
      <c r="V95" t="s">
        <v>607</v>
      </c>
    </row>
    <row r="96" spans="1:22">
      <c r="A96">
        <v>10</v>
      </c>
      <c r="B96" s="111">
        <v>45962</v>
      </c>
      <c r="C96" s="453">
        <v>45962.458333333336</v>
      </c>
      <c r="D96" s="453">
        <v>45962.625</v>
      </c>
      <c r="E96" s="453">
        <v>45962.75</v>
      </c>
      <c r="F96" s="453">
        <v>45962.791666666664</v>
      </c>
      <c r="G96" s="453">
        <v>45962.958333333336</v>
      </c>
      <c r="H96" t="s">
        <v>130</v>
      </c>
      <c r="I96" t="s">
        <v>40</v>
      </c>
      <c r="J96" t="s">
        <v>9</v>
      </c>
      <c r="M96" t="s">
        <v>2</v>
      </c>
      <c r="N96">
        <v>0</v>
      </c>
      <c r="O96">
        <v>0</v>
      </c>
      <c r="P96">
        <v>0</v>
      </c>
      <c r="Q96">
        <v>0</v>
      </c>
      <c r="R96">
        <v>0</v>
      </c>
      <c r="S96" s="453">
        <v>45827.018750000003</v>
      </c>
      <c r="T96" t="s">
        <v>41</v>
      </c>
      <c r="U96" t="s">
        <v>445</v>
      </c>
      <c r="V96" t="s">
        <v>607</v>
      </c>
    </row>
    <row r="97" spans="1:22">
      <c r="A97">
        <v>10</v>
      </c>
      <c r="B97" s="111">
        <v>45962</v>
      </c>
      <c r="C97" s="453">
        <v>45962.458333333336</v>
      </c>
      <c r="D97" s="453">
        <v>45962.625</v>
      </c>
      <c r="E97" s="453">
        <v>45962.75</v>
      </c>
      <c r="F97" s="453">
        <v>45962.791666666664</v>
      </c>
      <c r="G97" s="453">
        <v>45962.958333333336</v>
      </c>
      <c r="H97" t="s">
        <v>427</v>
      </c>
      <c r="I97" t="s">
        <v>50</v>
      </c>
      <c r="J97" t="s">
        <v>10</v>
      </c>
      <c r="M97" t="s">
        <v>3</v>
      </c>
      <c r="N97">
        <v>0</v>
      </c>
      <c r="O97">
        <v>0</v>
      </c>
      <c r="P97">
        <v>0</v>
      </c>
      <c r="Q97">
        <v>0</v>
      </c>
      <c r="R97">
        <v>0</v>
      </c>
      <c r="S97" s="453">
        <v>45827.018750000003</v>
      </c>
      <c r="T97" t="s">
        <v>41</v>
      </c>
      <c r="U97" t="s">
        <v>445</v>
      </c>
      <c r="V97" t="s">
        <v>607</v>
      </c>
    </row>
    <row r="98" spans="1:22">
      <c r="A98">
        <v>10</v>
      </c>
      <c r="B98" s="111">
        <v>45962</v>
      </c>
      <c r="C98" s="453">
        <v>45962.458333333336</v>
      </c>
      <c r="D98" s="453">
        <v>45962.625</v>
      </c>
      <c r="E98" s="453">
        <v>45962.75</v>
      </c>
      <c r="F98" s="453">
        <v>45962.791666666664</v>
      </c>
      <c r="G98" s="453">
        <v>45962.958333333336</v>
      </c>
      <c r="H98" t="s">
        <v>386</v>
      </c>
      <c r="I98" t="s">
        <v>158</v>
      </c>
      <c r="J98" t="s">
        <v>188</v>
      </c>
      <c r="M98" t="s">
        <v>11</v>
      </c>
      <c r="N98">
        <v>0</v>
      </c>
      <c r="O98">
        <v>0</v>
      </c>
      <c r="P98">
        <v>0</v>
      </c>
      <c r="Q98">
        <v>0</v>
      </c>
      <c r="R98">
        <v>0</v>
      </c>
      <c r="S98" s="453">
        <v>45827.018750000003</v>
      </c>
      <c r="T98" t="s">
        <v>41</v>
      </c>
      <c r="U98" t="s">
        <v>445</v>
      </c>
      <c r="V98" t="s">
        <v>607</v>
      </c>
    </row>
    <row r="99" spans="1:22">
      <c r="A99">
        <v>10</v>
      </c>
      <c r="B99" s="111">
        <v>45962</v>
      </c>
      <c r="C99" s="453">
        <v>45962.458333333336</v>
      </c>
      <c r="D99" s="453">
        <v>45962.625</v>
      </c>
      <c r="E99" s="453">
        <v>45962.75</v>
      </c>
      <c r="F99" s="453">
        <v>45962.791666666664</v>
      </c>
      <c r="G99" s="453">
        <v>45962.958333333336</v>
      </c>
      <c r="H99" t="s">
        <v>304</v>
      </c>
      <c r="I99" t="s">
        <v>45</v>
      </c>
      <c r="J99" t="s">
        <v>13</v>
      </c>
      <c r="M99" t="s">
        <v>6</v>
      </c>
      <c r="N99">
        <v>0</v>
      </c>
      <c r="O99">
        <v>0</v>
      </c>
      <c r="P99">
        <v>0</v>
      </c>
      <c r="Q99">
        <v>0</v>
      </c>
      <c r="R99">
        <v>0</v>
      </c>
      <c r="S99" s="453">
        <v>45827.018750000003</v>
      </c>
      <c r="T99" t="s">
        <v>41</v>
      </c>
      <c r="U99" t="s">
        <v>445</v>
      </c>
      <c r="V99" t="s">
        <v>607</v>
      </c>
    </row>
    <row r="100" spans="1:22">
      <c r="A100">
        <v>10</v>
      </c>
      <c r="B100" s="111">
        <v>45962</v>
      </c>
      <c r="C100" s="453">
        <v>45962.458333333336</v>
      </c>
      <c r="D100" s="453">
        <v>45962.625</v>
      </c>
      <c r="E100" s="453">
        <v>45962.75</v>
      </c>
      <c r="F100" s="453">
        <v>45962.791666666664</v>
      </c>
      <c r="G100" s="453">
        <v>45962.958333333336</v>
      </c>
      <c r="H100" t="s">
        <v>467</v>
      </c>
      <c r="I100" t="s">
        <v>448</v>
      </c>
      <c r="J100" t="s">
        <v>443</v>
      </c>
      <c r="M100" t="s">
        <v>8</v>
      </c>
      <c r="N100">
        <v>0</v>
      </c>
      <c r="O100">
        <v>0</v>
      </c>
      <c r="P100">
        <v>0</v>
      </c>
      <c r="Q100">
        <v>0</v>
      </c>
      <c r="R100">
        <v>0</v>
      </c>
      <c r="S100" s="453">
        <v>45827.018750000003</v>
      </c>
      <c r="T100" t="s">
        <v>41</v>
      </c>
      <c r="U100" t="s">
        <v>445</v>
      </c>
      <c r="V100" t="s">
        <v>607</v>
      </c>
    </row>
    <row r="101" spans="1:22">
      <c r="A101">
        <v>10</v>
      </c>
      <c r="B101" s="111">
        <v>45962</v>
      </c>
      <c r="C101" s="453">
        <v>45962.458333333336</v>
      </c>
      <c r="D101" s="453">
        <v>45962.625</v>
      </c>
      <c r="E101" s="453">
        <v>45962.75</v>
      </c>
      <c r="F101" s="453">
        <v>45962.791666666664</v>
      </c>
      <c r="G101" s="453">
        <v>45962.958333333336</v>
      </c>
      <c r="H101" t="s">
        <v>378</v>
      </c>
      <c r="I101" t="s">
        <v>42</v>
      </c>
      <c r="J101" t="s">
        <v>14</v>
      </c>
      <c r="M101" t="s">
        <v>12</v>
      </c>
      <c r="N101">
        <v>0</v>
      </c>
      <c r="O101">
        <v>0</v>
      </c>
      <c r="P101">
        <v>0</v>
      </c>
      <c r="Q101">
        <v>0</v>
      </c>
      <c r="R101">
        <v>0</v>
      </c>
      <c r="S101" s="453">
        <v>45827.018750000003</v>
      </c>
      <c r="T101" t="s">
        <v>41</v>
      </c>
      <c r="U101" t="s">
        <v>445</v>
      </c>
      <c r="V101" t="s">
        <v>607</v>
      </c>
    </row>
    <row r="102" spans="1:22">
      <c r="A102">
        <v>11</v>
      </c>
      <c r="B102" s="111">
        <v>45969</v>
      </c>
      <c r="C102" s="453">
        <v>45969.416666666664</v>
      </c>
      <c r="D102" s="453">
        <v>45969.625</v>
      </c>
      <c r="E102" s="453">
        <v>45969.75</v>
      </c>
      <c r="F102" s="453">
        <v>45969.791666666664</v>
      </c>
      <c r="G102" s="453">
        <v>45969.958333333336</v>
      </c>
      <c r="H102" t="s">
        <v>268</v>
      </c>
      <c r="I102" t="s">
        <v>49</v>
      </c>
      <c r="J102" t="s">
        <v>2</v>
      </c>
      <c r="M102" t="s">
        <v>3</v>
      </c>
      <c r="N102">
        <v>0</v>
      </c>
      <c r="O102">
        <v>0</v>
      </c>
      <c r="P102">
        <v>0</v>
      </c>
      <c r="Q102">
        <v>0</v>
      </c>
      <c r="R102">
        <v>0</v>
      </c>
      <c r="S102" s="453">
        <v>45827.018750000003</v>
      </c>
      <c r="T102" t="s">
        <v>41</v>
      </c>
      <c r="U102" t="s">
        <v>445</v>
      </c>
      <c r="V102" t="s">
        <v>607</v>
      </c>
    </row>
    <row r="103" spans="1:22">
      <c r="A103">
        <v>11</v>
      </c>
      <c r="B103" s="111">
        <v>45969</v>
      </c>
      <c r="C103" s="453">
        <v>45969.416666666664</v>
      </c>
      <c r="D103" s="453">
        <v>45969.625</v>
      </c>
      <c r="E103" s="453">
        <v>45969.75</v>
      </c>
      <c r="F103" s="453">
        <v>45969.791666666664</v>
      </c>
      <c r="G103" s="453">
        <v>45969.958333333336</v>
      </c>
      <c r="H103" t="s">
        <v>301</v>
      </c>
      <c r="I103" t="s">
        <v>172</v>
      </c>
      <c r="J103" t="s">
        <v>107</v>
      </c>
      <c r="M103" t="s">
        <v>12</v>
      </c>
      <c r="N103">
        <v>0</v>
      </c>
      <c r="O103">
        <v>0</v>
      </c>
      <c r="P103">
        <v>0</v>
      </c>
      <c r="Q103">
        <v>0</v>
      </c>
      <c r="R103">
        <v>0</v>
      </c>
      <c r="S103" s="453">
        <v>45827.018750000003</v>
      </c>
      <c r="T103" t="s">
        <v>41</v>
      </c>
      <c r="U103" t="s">
        <v>445</v>
      </c>
      <c r="V103" t="s">
        <v>607</v>
      </c>
    </row>
    <row r="104" spans="1:22">
      <c r="A104">
        <v>11</v>
      </c>
      <c r="B104" s="111">
        <v>45969</v>
      </c>
      <c r="C104" s="453">
        <v>45969.416666666664</v>
      </c>
      <c r="D104" s="453">
        <v>45969.625</v>
      </c>
      <c r="E104" s="453">
        <v>45969.75</v>
      </c>
      <c r="F104" s="453">
        <v>45969.791666666664</v>
      </c>
      <c r="G104" s="453">
        <v>45969.958333333336</v>
      </c>
      <c r="H104" t="s">
        <v>343</v>
      </c>
      <c r="I104" t="s">
        <v>51</v>
      </c>
      <c r="J104" t="s">
        <v>6</v>
      </c>
      <c r="M104" t="s">
        <v>15</v>
      </c>
      <c r="N104">
        <v>0</v>
      </c>
      <c r="O104">
        <v>0</v>
      </c>
      <c r="P104">
        <v>0</v>
      </c>
      <c r="Q104">
        <v>0</v>
      </c>
      <c r="R104">
        <v>0</v>
      </c>
      <c r="S104" s="453">
        <v>45827.018750000003</v>
      </c>
      <c r="T104" t="s">
        <v>41</v>
      </c>
      <c r="U104" t="s">
        <v>445</v>
      </c>
      <c r="V104" t="s">
        <v>607</v>
      </c>
    </row>
    <row r="105" spans="1:22">
      <c r="A105">
        <v>11</v>
      </c>
      <c r="B105" s="111">
        <v>45969</v>
      </c>
      <c r="C105" s="453">
        <v>45969.416666666664</v>
      </c>
      <c r="D105" s="453">
        <v>45969.625</v>
      </c>
      <c r="E105" s="453">
        <v>45969.75</v>
      </c>
      <c r="F105" s="453">
        <v>45969.791666666664</v>
      </c>
      <c r="G105" s="453">
        <v>45969.958333333336</v>
      </c>
      <c r="H105" t="s">
        <v>391</v>
      </c>
      <c r="I105" t="s">
        <v>44</v>
      </c>
      <c r="J105" t="s">
        <v>7</v>
      </c>
      <c r="M105" t="s">
        <v>4</v>
      </c>
      <c r="N105">
        <v>0</v>
      </c>
      <c r="O105">
        <v>0</v>
      </c>
      <c r="P105">
        <v>0</v>
      </c>
      <c r="Q105">
        <v>0</v>
      </c>
      <c r="R105">
        <v>0</v>
      </c>
      <c r="S105" s="453">
        <v>45827.018750000003</v>
      </c>
      <c r="T105" t="s">
        <v>41</v>
      </c>
      <c r="U105" t="s">
        <v>445</v>
      </c>
      <c r="V105" t="s">
        <v>607</v>
      </c>
    </row>
    <row r="106" spans="1:22">
      <c r="A106">
        <v>11</v>
      </c>
      <c r="B106" s="111">
        <v>45969</v>
      </c>
      <c r="C106" s="453">
        <v>45969.416666666664</v>
      </c>
      <c r="D106" s="453">
        <v>45969.625</v>
      </c>
      <c r="E106" s="453">
        <v>45969.75</v>
      </c>
      <c r="F106" s="453">
        <v>45969.791666666664</v>
      </c>
      <c r="G106" s="453">
        <v>45969.958333333336</v>
      </c>
      <c r="H106" t="s">
        <v>169</v>
      </c>
      <c r="I106" t="s">
        <v>452</v>
      </c>
      <c r="J106" t="s">
        <v>8</v>
      </c>
      <c r="M106" t="s">
        <v>108</v>
      </c>
      <c r="N106">
        <v>0</v>
      </c>
      <c r="O106">
        <v>0</v>
      </c>
      <c r="P106">
        <v>0</v>
      </c>
      <c r="Q106">
        <v>0</v>
      </c>
      <c r="R106">
        <v>0</v>
      </c>
      <c r="S106" s="453">
        <v>45827.018750000003</v>
      </c>
      <c r="T106" t="s">
        <v>41</v>
      </c>
      <c r="U106" t="s">
        <v>445</v>
      </c>
      <c r="V106" t="s">
        <v>607</v>
      </c>
    </row>
    <row r="107" spans="1:22">
      <c r="A107">
        <v>11</v>
      </c>
      <c r="B107" s="111">
        <v>45969</v>
      </c>
      <c r="C107" s="453">
        <v>45969.416666666664</v>
      </c>
      <c r="D107" s="453">
        <v>45969.625</v>
      </c>
      <c r="E107" s="453">
        <v>45969.75</v>
      </c>
      <c r="F107" s="453">
        <v>45969.791666666664</v>
      </c>
      <c r="G107" s="453">
        <v>45969.958333333336</v>
      </c>
      <c r="H107" t="s">
        <v>367</v>
      </c>
      <c r="I107" t="s">
        <v>50</v>
      </c>
      <c r="J107" t="s">
        <v>10</v>
      </c>
      <c r="M107" t="s">
        <v>9</v>
      </c>
      <c r="N107">
        <v>0</v>
      </c>
      <c r="O107">
        <v>0</v>
      </c>
      <c r="P107">
        <v>0</v>
      </c>
      <c r="Q107">
        <v>0</v>
      </c>
      <c r="R107">
        <v>0</v>
      </c>
      <c r="S107" s="453">
        <v>45827.018750000003</v>
      </c>
      <c r="T107" t="s">
        <v>41</v>
      </c>
      <c r="U107" t="s">
        <v>445</v>
      </c>
      <c r="V107" t="s">
        <v>607</v>
      </c>
    </row>
    <row r="108" spans="1:22">
      <c r="A108">
        <v>11</v>
      </c>
      <c r="B108" s="111">
        <v>45969</v>
      </c>
      <c r="C108" s="453">
        <v>45969.416666666664</v>
      </c>
      <c r="D108" s="453">
        <v>45969.625</v>
      </c>
      <c r="E108" s="453">
        <v>45969.75</v>
      </c>
      <c r="F108" s="453">
        <v>45969.791666666664</v>
      </c>
      <c r="G108" s="453">
        <v>45969.958333333336</v>
      </c>
      <c r="H108" t="s">
        <v>524</v>
      </c>
      <c r="I108" t="s">
        <v>158</v>
      </c>
      <c r="J108" t="s">
        <v>188</v>
      </c>
      <c r="M108" t="s">
        <v>444</v>
      </c>
      <c r="N108">
        <v>0</v>
      </c>
      <c r="O108">
        <v>0</v>
      </c>
      <c r="P108">
        <v>0</v>
      </c>
      <c r="Q108">
        <v>0</v>
      </c>
      <c r="R108">
        <v>0</v>
      </c>
      <c r="S108" s="453">
        <v>45827.018750000003</v>
      </c>
      <c r="T108" t="s">
        <v>41</v>
      </c>
      <c r="U108" t="s">
        <v>445</v>
      </c>
      <c r="V108" t="s">
        <v>607</v>
      </c>
    </row>
    <row r="109" spans="1:22">
      <c r="A109">
        <v>11</v>
      </c>
      <c r="B109" s="111">
        <v>45969</v>
      </c>
      <c r="C109" s="453">
        <v>45969.416666666664</v>
      </c>
      <c r="D109" s="453">
        <v>45969.625</v>
      </c>
      <c r="E109" s="453">
        <v>45969.75</v>
      </c>
      <c r="F109" s="453">
        <v>45969.791666666664</v>
      </c>
      <c r="G109" s="453">
        <v>45969.958333333336</v>
      </c>
      <c r="H109" t="s">
        <v>362</v>
      </c>
      <c r="I109" t="s">
        <v>45</v>
      </c>
      <c r="J109" t="s">
        <v>13</v>
      </c>
      <c r="M109" t="s">
        <v>11</v>
      </c>
      <c r="N109">
        <v>0</v>
      </c>
      <c r="O109">
        <v>0</v>
      </c>
      <c r="P109">
        <v>0</v>
      </c>
      <c r="Q109">
        <v>0</v>
      </c>
      <c r="R109">
        <v>0</v>
      </c>
      <c r="S109" s="453">
        <v>45827.018750000003</v>
      </c>
      <c r="T109" t="s">
        <v>41</v>
      </c>
      <c r="U109" t="s">
        <v>445</v>
      </c>
      <c r="V109" t="s">
        <v>607</v>
      </c>
    </row>
    <row r="110" spans="1:22">
      <c r="A110">
        <v>11</v>
      </c>
      <c r="B110" s="111">
        <v>45969</v>
      </c>
      <c r="C110" s="453">
        <v>45969.416666666664</v>
      </c>
      <c r="D110" s="453">
        <v>45969.625</v>
      </c>
      <c r="E110" s="453">
        <v>45969.75</v>
      </c>
      <c r="F110" s="453">
        <v>45969.791666666664</v>
      </c>
      <c r="G110" s="453">
        <v>45969.958333333336</v>
      </c>
      <c r="H110" t="s">
        <v>468</v>
      </c>
      <c r="I110" t="s">
        <v>448</v>
      </c>
      <c r="J110" t="s">
        <v>443</v>
      </c>
      <c r="M110" t="s">
        <v>1</v>
      </c>
      <c r="N110">
        <v>0</v>
      </c>
      <c r="O110">
        <v>0</v>
      </c>
      <c r="P110">
        <v>0</v>
      </c>
      <c r="Q110">
        <v>0</v>
      </c>
      <c r="R110">
        <v>0</v>
      </c>
      <c r="S110" s="453">
        <v>45827.018750000003</v>
      </c>
      <c r="T110" t="s">
        <v>41</v>
      </c>
      <c r="U110" t="s">
        <v>445</v>
      </c>
      <c r="V110" t="s">
        <v>607</v>
      </c>
    </row>
    <row r="111" spans="1:22">
      <c r="A111">
        <v>11</v>
      </c>
      <c r="B111" s="111">
        <v>45969</v>
      </c>
      <c r="C111" s="453">
        <v>45969.416666666664</v>
      </c>
      <c r="D111" s="453">
        <v>45969.625</v>
      </c>
      <c r="E111" s="453">
        <v>45969.75</v>
      </c>
      <c r="F111" s="453">
        <v>45969.791666666664</v>
      </c>
      <c r="G111" s="453">
        <v>45969.958333333336</v>
      </c>
      <c r="H111" t="s">
        <v>469</v>
      </c>
      <c r="I111" t="s">
        <v>42</v>
      </c>
      <c r="J111" t="s">
        <v>14</v>
      </c>
      <c r="M111" t="s">
        <v>5</v>
      </c>
      <c r="N111">
        <v>0</v>
      </c>
      <c r="O111">
        <v>0</v>
      </c>
      <c r="P111">
        <v>0</v>
      </c>
      <c r="Q111">
        <v>0</v>
      </c>
      <c r="R111">
        <v>0</v>
      </c>
      <c r="S111" s="453">
        <v>45827.018750000003</v>
      </c>
      <c r="T111" t="s">
        <v>41</v>
      </c>
      <c r="U111" t="s">
        <v>445</v>
      </c>
      <c r="V111" t="s">
        <v>607</v>
      </c>
    </row>
    <row r="112" spans="1:22">
      <c r="A112">
        <v>12</v>
      </c>
      <c r="B112" s="111">
        <v>45983</v>
      </c>
      <c r="C112" s="453">
        <v>45983.416666666664</v>
      </c>
      <c r="D112" s="453">
        <v>45983.625</v>
      </c>
      <c r="E112" s="453">
        <v>45983.75</v>
      </c>
      <c r="F112" s="453">
        <v>45983.791666666664</v>
      </c>
      <c r="G112" s="453">
        <v>45983.958333333336</v>
      </c>
      <c r="H112" t="s">
        <v>338</v>
      </c>
      <c r="I112" t="s">
        <v>48</v>
      </c>
      <c r="J112" t="s">
        <v>1</v>
      </c>
      <c r="M112" t="s">
        <v>13</v>
      </c>
      <c r="N112">
        <v>0</v>
      </c>
      <c r="O112">
        <v>0</v>
      </c>
      <c r="P112">
        <v>0</v>
      </c>
      <c r="Q112">
        <v>0</v>
      </c>
      <c r="R112">
        <v>0</v>
      </c>
      <c r="S112" s="453">
        <v>45827.018750000003</v>
      </c>
      <c r="T112" t="s">
        <v>41</v>
      </c>
      <c r="U112" t="s">
        <v>445</v>
      </c>
      <c r="V112" t="s">
        <v>607</v>
      </c>
    </row>
    <row r="113" spans="1:22">
      <c r="A113">
        <v>12</v>
      </c>
      <c r="B113" s="111">
        <v>45983</v>
      </c>
      <c r="C113" s="453">
        <v>45983.416666666664</v>
      </c>
      <c r="D113" s="453">
        <v>45983.625</v>
      </c>
      <c r="E113" s="453">
        <v>45983.75</v>
      </c>
      <c r="F113" s="453">
        <v>45983.791666666664</v>
      </c>
      <c r="G113" s="453">
        <v>45983.958333333336</v>
      </c>
      <c r="H113" t="s">
        <v>309</v>
      </c>
      <c r="I113" t="s">
        <v>43</v>
      </c>
      <c r="J113" t="s">
        <v>3</v>
      </c>
      <c r="M113" t="s">
        <v>14</v>
      </c>
      <c r="N113">
        <v>0</v>
      </c>
      <c r="O113">
        <v>0</v>
      </c>
      <c r="P113">
        <v>0</v>
      </c>
      <c r="Q113">
        <v>0</v>
      </c>
      <c r="R113">
        <v>0</v>
      </c>
      <c r="S113" s="453">
        <v>45827.018750000003</v>
      </c>
      <c r="T113" t="s">
        <v>41</v>
      </c>
      <c r="U113" t="s">
        <v>445</v>
      </c>
      <c r="V113" t="s">
        <v>607</v>
      </c>
    </row>
    <row r="114" spans="1:22">
      <c r="A114">
        <v>12</v>
      </c>
      <c r="B114" s="111">
        <v>45983</v>
      </c>
      <c r="C114" s="453">
        <v>45983.416666666664</v>
      </c>
      <c r="D114" s="453">
        <v>45983.625</v>
      </c>
      <c r="E114" s="453">
        <v>45983.75</v>
      </c>
      <c r="F114" s="453">
        <v>45983.791666666664</v>
      </c>
      <c r="G114" s="453">
        <v>45983.958333333336</v>
      </c>
      <c r="H114" t="s">
        <v>320</v>
      </c>
      <c r="I114" t="s">
        <v>217</v>
      </c>
      <c r="J114" t="s">
        <v>4</v>
      </c>
      <c r="M114" t="s">
        <v>107</v>
      </c>
      <c r="N114">
        <v>0</v>
      </c>
      <c r="O114">
        <v>0</v>
      </c>
      <c r="P114">
        <v>0</v>
      </c>
      <c r="Q114">
        <v>0</v>
      </c>
      <c r="R114">
        <v>0</v>
      </c>
      <c r="S114" s="453">
        <v>45827.018750000003</v>
      </c>
      <c r="T114" t="s">
        <v>41</v>
      </c>
      <c r="U114" t="s">
        <v>445</v>
      </c>
      <c r="V114" t="s">
        <v>607</v>
      </c>
    </row>
    <row r="115" spans="1:22">
      <c r="A115">
        <v>12</v>
      </c>
      <c r="B115" s="111">
        <v>45983</v>
      </c>
      <c r="C115" s="453">
        <v>45983.416666666664</v>
      </c>
      <c r="D115" s="453">
        <v>45983.625</v>
      </c>
      <c r="E115" s="453">
        <v>45983.75</v>
      </c>
      <c r="F115" s="453">
        <v>45983.791666666664</v>
      </c>
      <c r="G115" s="453">
        <v>45983.958333333336</v>
      </c>
      <c r="H115" t="s">
        <v>470</v>
      </c>
      <c r="I115" t="s">
        <v>451</v>
      </c>
      <c r="J115" t="s">
        <v>5</v>
      </c>
      <c r="M115" t="s">
        <v>6</v>
      </c>
      <c r="N115">
        <v>0</v>
      </c>
      <c r="O115">
        <v>0</v>
      </c>
      <c r="P115">
        <v>0</v>
      </c>
      <c r="Q115">
        <v>0</v>
      </c>
      <c r="R115">
        <v>0</v>
      </c>
      <c r="S115" s="453">
        <v>45827.018750000003</v>
      </c>
      <c r="T115" t="s">
        <v>41</v>
      </c>
      <c r="U115" t="s">
        <v>445</v>
      </c>
      <c r="V115" t="s">
        <v>607</v>
      </c>
    </row>
    <row r="116" spans="1:22">
      <c r="A116">
        <v>12</v>
      </c>
      <c r="B116" s="111">
        <v>45983</v>
      </c>
      <c r="C116" s="453">
        <v>45983.416666666664</v>
      </c>
      <c r="D116" s="453">
        <v>45983.625</v>
      </c>
      <c r="E116" s="453">
        <v>45983.75</v>
      </c>
      <c r="F116" s="453">
        <v>45983.791666666664</v>
      </c>
      <c r="G116" s="453">
        <v>45983.958333333336</v>
      </c>
      <c r="H116" t="s">
        <v>471</v>
      </c>
      <c r="I116" t="s">
        <v>157</v>
      </c>
      <c r="J116" t="s">
        <v>108</v>
      </c>
      <c r="M116" t="s">
        <v>443</v>
      </c>
      <c r="N116">
        <v>0</v>
      </c>
      <c r="O116">
        <v>0</v>
      </c>
      <c r="P116">
        <v>0</v>
      </c>
      <c r="Q116">
        <v>0</v>
      </c>
      <c r="R116">
        <v>0</v>
      </c>
      <c r="S116" s="453">
        <v>45827.019444444442</v>
      </c>
      <c r="T116" t="s">
        <v>41</v>
      </c>
      <c r="U116" t="s">
        <v>445</v>
      </c>
      <c r="V116" t="s">
        <v>607</v>
      </c>
    </row>
    <row r="117" spans="1:22">
      <c r="A117">
        <v>12</v>
      </c>
      <c r="B117" s="111">
        <v>45983</v>
      </c>
      <c r="C117" s="453">
        <v>45983.416666666664</v>
      </c>
      <c r="D117" s="453">
        <v>45983.625</v>
      </c>
      <c r="E117" s="453">
        <v>45983.75</v>
      </c>
      <c r="F117" s="453">
        <v>45983.791666666664</v>
      </c>
      <c r="G117" s="453">
        <v>45983.958333333336</v>
      </c>
      <c r="H117" t="s">
        <v>525</v>
      </c>
      <c r="I117" t="s">
        <v>449</v>
      </c>
      <c r="J117" t="s">
        <v>444</v>
      </c>
      <c r="M117" t="s">
        <v>2</v>
      </c>
      <c r="N117">
        <v>0</v>
      </c>
      <c r="O117">
        <v>0</v>
      </c>
      <c r="P117">
        <v>0</v>
      </c>
      <c r="Q117">
        <v>0</v>
      </c>
      <c r="R117">
        <v>0</v>
      </c>
      <c r="S117" s="453">
        <v>45827.019444444442</v>
      </c>
      <c r="T117" t="s">
        <v>41</v>
      </c>
      <c r="U117" t="s">
        <v>445</v>
      </c>
      <c r="V117" t="s">
        <v>607</v>
      </c>
    </row>
    <row r="118" spans="1:22">
      <c r="A118">
        <v>12</v>
      </c>
      <c r="B118" s="111">
        <v>45983</v>
      </c>
      <c r="C118" s="453">
        <v>45983.416666666664</v>
      </c>
      <c r="D118" s="453">
        <v>45983.625</v>
      </c>
      <c r="E118" s="453">
        <v>45983.75</v>
      </c>
      <c r="F118" s="453">
        <v>45983.791666666664</v>
      </c>
      <c r="G118" s="453">
        <v>45983.958333333336</v>
      </c>
      <c r="H118" t="s">
        <v>237</v>
      </c>
      <c r="I118" t="s">
        <v>40</v>
      </c>
      <c r="J118" t="s">
        <v>9</v>
      </c>
      <c r="M118" t="s">
        <v>188</v>
      </c>
      <c r="N118">
        <v>0</v>
      </c>
      <c r="O118">
        <v>0</v>
      </c>
      <c r="P118">
        <v>0</v>
      </c>
      <c r="Q118">
        <v>0</v>
      </c>
      <c r="R118">
        <v>0</v>
      </c>
      <c r="S118" s="453">
        <v>45827.019444444442</v>
      </c>
      <c r="T118" t="s">
        <v>41</v>
      </c>
      <c r="U118" t="s">
        <v>445</v>
      </c>
      <c r="V118" t="s">
        <v>607</v>
      </c>
    </row>
    <row r="119" spans="1:22">
      <c r="A119">
        <v>12</v>
      </c>
      <c r="B119" s="111">
        <v>45983</v>
      </c>
      <c r="C119" s="453">
        <v>45983.416666666664</v>
      </c>
      <c r="D119" s="453">
        <v>45983.625</v>
      </c>
      <c r="E119" s="453">
        <v>45983.75</v>
      </c>
      <c r="F119" s="453">
        <v>45983.791666666664</v>
      </c>
      <c r="G119" s="453">
        <v>45983.958333333336</v>
      </c>
      <c r="H119" t="s">
        <v>292</v>
      </c>
      <c r="I119" t="s">
        <v>47</v>
      </c>
      <c r="J119" t="s">
        <v>11</v>
      </c>
      <c r="M119" t="s">
        <v>8</v>
      </c>
      <c r="N119">
        <v>0</v>
      </c>
      <c r="O119">
        <v>0</v>
      </c>
      <c r="P119">
        <v>0</v>
      </c>
      <c r="Q119">
        <v>0</v>
      </c>
      <c r="R119">
        <v>0</v>
      </c>
      <c r="S119" s="453">
        <v>45827.019444444442</v>
      </c>
      <c r="T119" t="s">
        <v>41</v>
      </c>
      <c r="U119" t="s">
        <v>445</v>
      </c>
      <c r="V119" t="s">
        <v>607</v>
      </c>
    </row>
    <row r="120" spans="1:22">
      <c r="A120">
        <v>12</v>
      </c>
      <c r="B120" s="111">
        <v>45983</v>
      </c>
      <c r="C120" s="453">
        <v>45983.416666666664</v>
      </c>
      <c r="D120" s="453">
        <v>45983.625</v>
      </c>
      <c r="E120" s="453">
        <v>45983.75</v>
      </c>
      <c r="F120" s="453">
        <v>45983.791666666664</v>
      </c>
      <c r="G120" s="453">
        <v>45983.958333333336</v>
      </c>
      <c r="H120" t="s">
        <v>250</v>
      </c>
      <c r="I120" t="s">
        <v>46</v>
      </c>
      <c r="J120" t="s">
        <v>12</v>
      </c>
      <c r="M120" t="s">
        <v>10</v>
      </c>
      <c r="N120">
        <v>0</v>
      </c>
      <c r="O120">
        <v>0</v>
      </c>
      <c r="P120">
        <v>0</v>
      </c>
      <c r="Q120">
        <v>0</v>
      </c>
      <c r="R120">
        <v>0</v>
      </c>
      <c r="S120" s="453">
        <v>45827.019444444442</v>
      </c>
      <c r="T120" t="s">
        <v>41</v>
      </c>
      <c r="U120" t="s">
        <v>445</v>
      </c>
      <c r="V120" t="s">
        <v>607</v>
      </c>
    </row>
    <row r="121" spans="1:22">
      <c r="A121">
        <v>12</v>
      </c>
      <c r="B121" s="111">
        <v>45983</v>
      </c>
      <c r="C121" s="453">
        <v>45983.416666666664</v>
      </c>
      <c r="D121" s="453">
        <v>45983.625</v>
      </c>
      <c r="E121" s="453">
        <v>45983.75</v>
      </c>
      <c r="F121" s="453">
        <v>45983.791666666664</v>
      </c>
      <c r="G121" s="453">
        <v>45983.958333333336</v>
      </c>
      <c r="H121" t="s">
        <v>277</v>
      </c>
      <c r="I121" t="s">
        <v>52</v>
      </c>
      <c r="J121" t="s">
        <v>15</v>
      </c>
      <c r="M121" t="s">
        <v>7</v>
      </c>
      <c r="N121">
        <v>0</v>
      </c>
      <c r="O121">
        <v>0</v>
      </c>
      <c r="P121">
        <v>0</v>
      </c>
      <c r="Q121">
        <v>0</v>
      </c>
      <c r="R121">
        <v>0</v>
      </c>
      <c r="S121" s="453">
        <v>45827.019444444442</v>
      </c>
      <c r="T121" t="s">
        <v>41</v>
      </c>
      <c r="U121" t="s">
        <v>445</v>
      </c>
      <c r="V121" t="s">
        <v>607</v>
      </c>
    </row>
    <row r="122" spans="1:22">
      <c r="A122">
        <v>13</v>
      </c>
      <c r="B122" s="111">
        <v>45990</v>
      </c>
      <c r="C122" s="453">
        <v>45990.416666666664</v>
      </c>
      <c r="D122" s="453">
        <v>45990.625</v>
      </c>
      <c r="E122" s="453">
        <v>45990.75</v>
      </c>
      <c r="F122" s="453">
        <v>45990.791666666664</v>
      </c>
      <c r="G122" s="453">
        <v>45990.958333333336</v>
      </c>
      <c r="H122" t="s">
        <v>243</v>
      </c>
      <c r="I122" t="s">
        <v>49</v>
      </c>
      <c r="J122" t="s">
        <v>2</v>
      </c>
      <c r="M122" t="s">
        <v>15</v>
      </c>
      <c r="N122">
        <v>0</v>
      </c>
      <c r="O122">
        <v>0</v>
      </c>
      <c r="P122">
        <v>0</v>
      </c>
      <c r="Q122">
        <v>0</v>
      </c>
      <c r="R122">
        <v>0</v>
      </c>
      <c r="S122" s="453">
        <v>45827.019444444442</v>
      </c>
      <c r="T122" t="s">
        <v>41</v>
      </c>
      <c r="U122" t="s">
        <v>445</v>
      </c>
      <c r="V122" t="s">
        <v>607</v>
      </c>
    </row>
    <row r="123" spans="1:22">
      <c r="A123">
        <v>13</v>
      </c>
      <c r="B123" s="111">
        <v>45990</v>
      </c>
      <c r="C123" s="453">
        <v>45990.416666666664</v>
      </c>
      <c r="D123" s="453">
        <v>45990.625</v>
      </c>
      <c r="E123" s="453">
        <v>45990.75</v>
      </c>
      <c r="F123" s="453">
        <v>45990.791666666664</v>
      </c>
      <c r="G123" s="453">
        <v>45990.958333333336</v>
      </c>
      <c r="H123" t="s">
        <v>472</v>
      </c>
      <c r="I123" t="s">
        <v>172</v>
      </c>
      <c r="J123" t="s">
        <v>107</v>
      </c>
      <c r="M123" t="s">
        <v>5</v>
      </c>
      <c r="N123">
        <v>0</v>
      </c>
      <c r="O123">
        <v>0</v>
      </c>
      <c r="P123">
        <v>0</v>
      </c>
      <c r="Q123">
        <v>0</v>
      </c>
      <c r="R123">
        <v>0</v>
      </c>
      <c r="S123" s="453">
        <v>45827.019444444442</v>
      </c>
      <c r="T123" t="s">
        <v>41</v>
      </c>
      <c r="U123" t="s">
        <v>445</v>
      </c>
      <c r="V123" t="s">
        <v>607</v>
      </c>
    </row>
    <row r="124" spans="1:22">
      <c r="A124">
        <v>13</v>
      </c>
      <c r="B124" s="111">
        <v>45990</v>
      </c>
      <c r="C124" s="453">
        <v>45990.416666666664</v>
      </c>
      <c r="D124" s="453">
        <v>45990.625</v>
      </c>
      <c r="E124" s="453">
        <v>45990.75</v>
      </c>
      <c r="F124" s="453">
        <v>45990.791666666664</v>
      </c>
      <c r="G124" s="453">
        <v>45990.958333333336</v>
      </c>
      <c r="H124" t="s">
        <v>139</v>
      </c>
      <c r="I124" t="s">
        <v>51</v>
      </c>
      <c r="J124" t="s">
        <v>6</v>
      </c>
      <c r="M124" t="s">
        <v>1</v>
      </c>
      <c r="N124">
        <v>0</v>
      </c>
      <c r="O124">
        <v>0</v>
      </c>
      <c r="P124">
        <v>0</v>
      </c>
      <c r="Q124">
        <v>0</v>
      </c>
      <c r="R124">
        <v>0</v>
      </c>
      <c r="S124" s="453">
        <v>45827.019444444442</v>
      </c>
      <c r="T124" t="s">
        <v>41</v>
      </c>
      <c r="U124" t="s">
        <v>445</v>
      </c>
      <c r="V124" t="s">
        <v>607</v>
      </c>
    </row>
    <row r="125" spans="1:22">
      <c r="A125">
        <v>13</v>
      </c>
      <c r="B125" s="111">
        <v>45990</v>
      </c>
      <c r="C125" s="453">
        <v>45990.416666666664</v>
      </c>
      <c r="D125" s="453">
        <v>45990.625</v>
      </c>
      <c r="E125" s="453">
        <v>45990.75</v>
      </c>
      <c r="F125" s="453">
        <v>45990.791666666664</v>
      </c>
      <c r="G125" s="453">
        <v>45990.958333333336</v>
      </c>
      <c r="H125" t="s">
        <v>247</v>
      </c>
      <c r="I125" t="s">
        <v>44</v>
      </c>
      <c r="J125" t="s">
        <v>7</v>
      </c>
      <c r="M125" t="s">
        <v>11</v>
      </c>
      <c r="N125">
        <v>0</v>
      </c>
      <c r="O125">
        <v>0</v>
      </c>
      <c r="P125">
        <v>0</v>
      </c>
      <c r="Q125">
        <v>0</v>
      </c>
      <c r="R125">
        <v>0</v>
      </c>
      <c r="S125" s="453">
        <v>45827.019444444442</v>
      </c>
      <c r="T125" t="s">
        <v>41</v>
      </c>
      <c r="U125" t="s">
        <v>445</v>
      </c>
      <c r="V125" t="s">
        <v>607</v>
      </c>
    </row>
    <row r="126" spans="1:22">
      <c r="A126">
        <v>13</v>
      </c>
      <c r="B126" s="111">
        <v>45990</v>
      </c>
      <c r="C126" s="453">
        <v>45990.416666666664</v>
      </c>
      <c r="D126" s="453">
        <v>45990.625</v>
      </c>
      <c r="E126" s="453">
        <v>45990.75</v>
      </c>
      <c r="F126" s="453">
        <v>45990.791666666664</v>
      </c>
      <c r="G126" s="453">
        <v>45990.958333333336</v>
      </c>
      <c r="H126" t="s">
        <v>258</v>
      </c>
      <c r="I126" t="s">
        <v>452</v>
      </c>
      <c r="J126" t="s">
        <v>8</v>
      </c>
      <c r="M126" t="s">
        <v>12</v>
      </c>
      <c r="N126">
        <v>0</v>
      </c>
      <c r="O126">
        <v>0</v>
      </c>
      <c r="P126">
        <v>0</v>
      </c>
      <c r="Q126">
        <v>0</v>
      </c>
      <c r="R126">
        <v>0</v>
      </c>
      <c r="S126" s="453">
        <v>45827.019444444442</v>
      </c>
      <c r="T126" t="s">
        <v>41</v>
      </c>
      <c r="U126" t="s">
        <v>445</v>
      </c>
      <c r="V126" t="s">
        <v>607</v>
      </c>
    </row>
    <row r="127" spans="1:22">
      <c r="A127">
        <v>13</v>
      </c>
      <c r="B127" s="111">
        <v>45990</v>
      </c>
      <c r="C127" s="453">
        <v>45990.416666666664</v>
      </c>
      <c r="D127" s="453">
        <v>45990.625</v>
      </c>
      <c r="E127" s="453">
        <v>45990.75</v>
      </c>
      <c r="F127" s="453">
        <v>45990.791666666664</v>
      </c>
      <c r="G127" s="453">
        <v>45990.958333333336</v>
      </c>
      <c r="H127" t="s">
        <v>526</v>
      </c>
      <c r="I127" t="s">
        <v>50</v>
      </c>
      <c r="J127" t="s">
        <v>10</v>
      </c>
      <c r="M127" t="s">
        <v>444</v>
      </c>
      <c r="N127">
        <v>0</v>
      </c>
      <c r="O127">
        <v>0</v>
      </c>
      <c r="P127">
        <v>0</v>
      </c>
      <c r="Q127">
        <v>0</v>
      </c>
      <c r="R127">
        <v>0</v>
      </c>
      <c r="S127" s="453">
        <v>45827.019444444442</v>
      </c>
      <c r="T127" t="s">
        <v>41</v>
      </c>
      <c r="U127" t="s">
        <v>445</v>
      </c>
      <c r="V127" t="s">
        <v>607</v>
      </c>
    </row>
    <row r="128" spans="1:22">
      <c r="A128">
        <v>13</v>
      </c>
      <c r="B128" s="111">
        <v>45990</v>
      </c>
      <c r="C128" s="453">
        <v>45990.416666666664</v>
      </c>
      <c r="D128" s="453">
        <v>45990.625</v>
      </c>
      <c r="E128" s="453">
        <v>45990.75</v>
      </c>
      <c r="F128" s="453">
        <v>45990.791666666664</v>
      </c>
      <c r="G128" s="453">
        <v>45990.958333333336</v>
      </c>
      <c r="H128" t="s">
        <v>356</v>
      </c>
      <c r="I128" t="s">
        <v>158</v>
      </c>
      <c r="J128" t="s">
        <v>188</v>
      </c>
      <c r="M128" t="s">
        <v>4</v>
      </c>
      <c r="N128">
        <v>0</v>
      </c>
      <c r="O128">
        <v>0</v>
      </c>
      <c r="P128">
        <v>0</v>
      </c>
      <c r="Q128">
        <v>0</v>
      </c>
      <c r="R128">
        <v>0</v>
      </c>
      <c r="S128" s="453">
        <v>45827.019444444442</v>
      </c>
      <c r="T128" t="s">
        <v>41</v>
      </c>
      <c r="U128" t="s">
        <v>445</v>
      </c>
      <c r="V128" t="s">
        <v>607</v>
      </c>
    </row>
    <row r="129" spans="1:22">
      <c r="A129">
        <v>13</v>
      </c>
      <c r="B129" s="111">
        <v>45990</v>
      </c>
      <c r="C129" s="453">
        <v>45990.416666666664</v>
      </c>
      <c r="D129" s="453">
        <v>45990.625</v>
      </c>
      <c r="E129" s="453">
        <v>45990.75</v>
      </c>
      <c r="F129" s="453">
        <v>45990.791666666664</v>
      </c>
      <c r="G129" s="453">
        <v>45990.958333333336</v>
      </c>
      <c r="H129" t="s">
        <v>293</v>
      </c>
      <c r="I129" t="s">
        <v>45</v>
      </c>
      <c r="J129" t="s">
        <v>13</v>
      </c>
      <c r="M129" t="s">
        <v>108</v>
      </c>
      <c r="N129">
        <v>0</v>
      </c>
      <c r="O129">
        <v>0</v>
      </c>
      <c r="P129">
        <v>0</v>
      </c>
      <c r="Q129">
        <v>0</v>
      </c>
      <c r="R129">
        <v>0</v>
      </c>
      <c r="S129" s="453">
        <v>45827.019444444442</v>
      </c>
      <c r="T129" t="s">
        <v>41</v>
      </c>
      <c r="U129" t="s">
        <v>445</v>
      </c>
      <c r="V129" t="s">
        <v>607</v>
      </c>
    </row>
    <row r="130" spans="1:22">
      <c r="A130">
        <v>13</v>
      </c>
      <c r="B130" s="111">
        <v>45990</v>
      </c>
      <c r="C130" s="453">
        <v>45990.416666666664</v>
      </c>
      <c r="D130" s="453">
        <v>45990.625</v>
      </c>
      <c r="E130" s="453">
        <v>45990.75</v>
      </c>
      <c r="F130" s="453">
        <v>45990.791666666664</v>
      </c>
      <c r="G130" s="453">
        <v>45990.958333333336</v>
      </c>
      <c r="H130" t="s">
        <v>473</v>
      </c>
      <c r="I130" t="s">
        <v>448</v>
      </c>
      <c r="J130" t="s">
        <v>443</v>
      </c>
      <c r="M130" t="s">
        <v>3</v>
      </c>
      <c r="N130">
        <v>0</v>
      </c>
      <c r="O130">
        <v>0</v>
      </c>
      <c r="P130">
        <v>0</v>
      </c>
      <c r="Q130">
        <v>0</v>
      </c>
      <c r="R130">
        <v>0</v>
      </c>
      <c r="S130" s="453">
        <v>45827.019444444442</v>
      </c>
      <c r="T130" t="s">
        <v>41</v>
      </c>
      <c r="U130" t="s">
        <v>445</v>
      </c>
      <c r="V130" t="s">
        <v>607</v>
      </c>
    </row>
    <row r="131" spans="1:22">
      <c r="A131">
        <v>13</v>
      </c>
      <c r="B131" s="111">
        <v>45990</v>
      </c>
      <c r="C131" s="453">
        <v>45990.416666666664</v>
      </c>
      <c r="D131" s="453">
        <v>45990.625</v>
      </c>
      <c r="E131" s="453">
        <v>45990.75</v>
      </c>
      <c r="F131" s="453">
        <v>45990.791666666664</v>
      </c>
      <c r="G131" s="453">
        <v>45990.958333333336</v>
      </c>
      <c r="H131" t="s">
        <v>324</v>
      </c>
      <c r="I131" t="s">
        <v>42</v>
      </c>
      <c r="J131" t="s">
        <v>14</v>
      </c>
      <c r="M131" t="s">
        <v>9</v>
      </c>
      <c r="N131">
        <v>0</v>
      </c>
      <c r="O131">
        <v>0</v>
      </c>
      <c r="P131">
        <v>0</v>
      </c>
      <c r="Q131">
        <v>0</v>
      </c>
      <c r="R131">
        <v>0</v>
      </c>
      <c r="S131" s="453">
        <v>45827.019444444442</v>
      </c>
      <c r="T131" t="s">
        <v>41</v>
      </c>
      <c r="U131" t="s">
        <v>445</v>
      </c>
      <c r="V131" t="s">
        <v>607</v>
      </c>
    </row>
    <row r="132" spans="1:22">
      <c r="A132">
        <v>14</v>
      </c>
      <c r="B132" s="111">
        <v>45994</v>
      </c>
      <c r="C132" s="453">
        <v>45994.625</v>
      </c>
      <c r="D132" s="453">
        <v>45994.833333333336</v>
      </c>
      <c r="E132" s="453">
        <v>45994.958333333336</v>
      </c>
      <c r="F132" s="453">
        <v>45995</v>
      </c>
      <c r="G132" s="453">
        <v>45995.166666666664</v>
      </c>
      <c r="H132" t="s">
        <v>140</v>
      </c>
      <c r="I132" t="s">
        <v>48</v>
      </c>
      <c r="J132" t="s">
        <v>1</v>
      </c>
      <c r="M132" t="s">
        <v>107</v>
      </c>
      <c r="N132">
        <v>0</v>
      </c>
      <c r="O132">
        <v>0</v>
      </c>
      <c r="P132">
        <v>0</v>
      </c>
      <c r="Q132">
        <v>0</v>
      </c>
      <c r="R132">
        <v>0</v>
      </c>
      <c r="S132" s="453">
        <v>45827.019444444442</v>
      </c>
      <c r="T132" t="s">
        <v>41</v>
      </c>
      <c r="U132" t="s">
        <v>445</v>
      </c>
      <c r="V132" t="s">
        <v>607</v>
      </c>
    </row>
    <row r="133" spans="1:22">
      <c r="A133">
        <v>14</v>
      </c>
      <c r="B133" s="111">
        <v>45994</v>
      </c>
      <c r="C133" s="453">
        <v>45994.625</v>
      </c>
      <c r="D133" s="453">
        <v>45994.833333333336</v>
      </c>
      <c r="E133" s="453">
        <v>45994.958333333336</v>
      </c>
      <c r="F133" s="453">
        <v>45995</v>
      </c>
      <c r="G133" s="453">
        <v>45995.166666666664</v>
      </c>
      <c r="H133" t="s">
        <v>328</v>
      </c>
      <c r="I133" t="s">
        <v>43</v>
      </c>
      <c r="J133" t="s">
        <v>3</v>
      </c>
      <c r="M133" t="s">
        <v>8</v>
      </c>
      <c r="N133">
        <v>0</v>
      </c>
      <c r="O133">
        <v>0</v>
      </c>
      <c r="P133">
        <v>0</v>
      </c>
      <c r="Q133">
        <v>0</v>
      </c>
      <c r="R133">
        <v>0</v>
      </c>
      <c r="S133" s="453">
        <v>45827.019444444442</v>
      </c>
      <c r="T133" t="s">
        <v>41</v>
      </c>
      <c r="U133" t="s">
        <v>445</v>
      </c>
      <c r="V133" t="s">
        <v>607</v>
      </c>
    </row>
    <row r="134" spans="1:22">
      <c r="A134">
        <v>14</v>
      </c>
      <c r="B134" s="111">
        <v>45994</v>
      </c>
      <c r="C134" s="453">
        <v>45994.625</v>
      </c>
      <c r="D134" s="453">
        <v>45994.833333333336</v>
      </c>
      <c r="E134" s="453">
        <v>45994.958333333336</v>
      </c>
      <c r="F134" s="453">
        <v>45995</v>
      </c>
      <c r="G134" s="453">
        <v>45995.166666666664</v>
      </c>
      <c r="H134" t="s">
        <v>385</v>
      </c>
      <c r="I134" t="s">
        <v>217</v>
      </c>
      <c r="J134" t="s">
        <v>4</v>
      </c>
      <c r="M134" t="s">
        <v>2</v>
      </c>
      <c r="N134">
        <v>0</v>
      </c>
      <c r="O134">
        <v>0</v>
      </c>
      <c r="P134">
        <v>0</v>
      </c>
      <c r="Q134">
        <v>0</v>
      </c>
      <c r="R134">
        <v>0</v>
      </c>
      <c r="S134" s="453">
        <v>45827.019444444442</v>
      </c>
      <c r="T134" t="s">
        <v>41</v>
      </c>
      <c r="U134" t="s">
        <v>445</v>
      </c>
      <c r="V134" t="s">
        <v>607</v>
      </c>
    </row>
    <row r="135" spans="1:22">
      <c r="A135">
        <v>14</v>
      </c>
      <c r="B135" s="111">
        <v>45994</v>
      </c>
      <c r="C135" s="453">
        <v>45994.625</v>
      </c>
      <c r="D135" s="453">
        <v>45994.833333333336</v>
      </c>
      <c r="E135" s="453">
        <v>45994.958333333336</v>
      </c>
      <c r="F135" s="453">
        <v>45995</v>
      </c>
      <c r="G135" s="453">
        <v>45995.166666666664</v>
      </c>
      <c r="H135" t="s">
        <v>474</v>
      </c>
      <c r="I135" t="s">
        <v>451</v>
      </c>
      <c r="J135" t="s">
        <v>5</v>
      </c>
      <c r="M135" t="s">
        <v>7</v>
      </c>
      <c r="N135">
        <v>0</v>
      </c>
      <c r="O135">
        <v>0</v>
      </c>
      <c r="P135">
        <v>0</v>
      </c>
      <c r="Q135">
        <v>0</v>
      </c>
      <c r="R135">
        <v>0</v>
      </c>
      <c r="S135" s="453">
        <v>45827.019444444442</v>
      </c>
      <c r="T135" t="s">
        <v>41</v>
      </c>
      <c r="U135" t="s">
        <v>445</v>
      </c>
      <c r="V135" t="s">
        <v>607</v>
      </c>
    </row>
    <row r="136" spans="1:22">
      <c r="A136">
        <v>14</v>
      </c>
      <c r="B136" s="111">
        <v>45994</v>
      </c>
      <c r="C136" s="453">
        <v>45994.625</v>
      </c>
      <c r="D136" s="453">
        <v>45994.833333333336</v>
      </c>
      <c r="E136" s="453">
        <v>45994.958333333336</v>
      </c>
      <c r="F136" s="453">
        <v>45995</v>
      </c>
      <c r="G136" s="453">
        <v>45995.166666666664</v>
      </c>
      <c r="H136" t="s">
        <v>429</v>
      </c>
      <c r="I136" t="s">
        <v>157</v>
      </c>
      <c r="J136" t="s">
        <v>108</v>
      </c>
      <c r="M136" t="s">
        <v>10</v>
      </c>
      <c r="N136">
        <v>0</v>
      </c>
      <c r="O136">
        <v>0</v>
      </c>
      <c r="P136">
        <v>0</v>
      </c>
      <c r="Q136">
        <v>0</v>
      </c>
      <c r="R136">
        <v>0</v>
      </c>
      <c r="S136" s="453">
        <v>45827.019444444442</v>
      </c>
      <c r="T136" t="s">
        <v>41</v>
      </c>
      <c r="U136" t="s">
        <v>445</v>
      </c>
      <c r="V136" t="s">
        <v>607</v>
      </c>
    </row>
    <row r="137" spans="1:22">
      <c r="A137">
        <v>14</v>
      </c>
      <c r="B137" s="111">
        <v>45994</v>
      </c>
      <c r="C137" s="453">
        <v>45994.625</v>
      </c>
      <c r="D137" s="453">
        <v>45994.833333333336</v>
      </c>
      <c r="E137" s="453">
        <v>45994.958333333336</v>
      </c>
      <c r="F137" s="453">
        <v>45995</v>
      </c>
      <c r="G137" s="453">
        <v>45995.166666666664</v>
      </c>
      <c r="H137" t="s">
        <v>527</v>
      </c>
      <c r="I137" t="s">
        <v>449</v>
      </c>
      <c r="J137" t="s">
        <v>444</v>
      </c>
      <c r="M137" t="s">
        <v>6</v>
      </c>
      <c r="N137">
        <v>0</v>
      </c>
      <c r="O137">
        <v>0</v>
      </c>
      <c r="P137">
        <v>0</v>
      </c>
      <c r="Q137">
        <v>0</v>
      </c>
      <c r="R137">
        <v>0</v>
      </c>
      <c r="S137" s="453">
        <v>45827.019444444442</v>
      </c>
      <c r="T137" t="s">
        <v>41</v>
      </c>
      <c r="U137" t="s">
        <v>445</v>
      </c>
      <c r="V137" t="s">
        <v>607</v>
      </c>
    </row>
    <row r="138" spans="1:22">
      <c r="A138">
        <v>14</v>
      </c>
      <c r="B138" s="111">
        <v>45994</v>
      </c>
      <c r="C138" s="453">
        <v>45994.625</v>
      </c>
      <c r="D138" s="453">
        <v>45994.833333333336</v>
      </c>
      <c r="E138" s="453">
        <v>45994.958333333336</v>
      </c>
      <c r="F138" s="453">
        <v>45995</v>
      </c>
      <c r="G138" s="453">
        <v>45995.166666666664</v>
      </c>
      <c r="H138" t="s">
        <v>475</v>
      </c>
      <c r="I138" t="s">
        <v>40</v>
      </c>
      <c r="J138" t="s">
        <v>9</v>
      </c>
      <c r="M138" t="s">
        <v>443</v>
      </c>
      <c r="N138">
        <v>0</v>
      </c>
      <c r="O138">
        <v>0</v>
      </c>
      <c r="P138">
        <v>0</v>
      </c>
      <c r="Q138">
        <v>0</v>
      </c>
      <c r="R138">
        <v>0</v>
      </c>
      <c r="S138" s="453">
        <v>45827.019444444442</v>
      </c>
      <c r="T138" t="s">
        <v>41</v>
      </c>
      <c r="U138" t="s">
        <v>445</v>
      </c>
      <c r="V138" t="s">
        <v>607</v>
      </c>
    </row>
    <row r="139" spans="1:22">
      <c r="A139">
        <v>14</v>
      </c>
      <c r="B139" s="111">
        <v>45994</v>
      </c>
      <c r="C139" s="453">
        <v>45994.625</v>
      </c>
      <c r="D139" s="453">
        <v>45994.833333333336</v>
      </c>
      <c r="E139" s="453">
        <v>45994.958333333336</v>
      </c>
      <c r="F139" s="453">
        <v>45995</v>
      </c>
      <c r="G139" s="453">
        <v>45995.166666666664</v>
      </c>
      <c r="H139" t="s">
        <v>418</v>
      </c>
      <c r="I139" t="s">
        <v>47</v>
      </c>
      <c r="J139" t="s">
        <v>11</v>
      </c>
      <c r="M139" t="s">
        <v>14</v>
      </c>
      <c r="N139">
        <v>0</v>
      </c>
      <c r="O139">
        <v>0</v>
      </c>
      <c r="P139">
        <v>0</v>
      </c>
      <c r="Q139">
        <v>0</v>
      </c>
      <c r="R139">
        <v>0</v>
      </c>
      <c r="S139" s="453">
        <v>45827.019444444442</v>
      </c>
      <c r="T139" t="s">
        <v>41</v>
      </c>
      <c r="U139" t="s">
        <v>445</v>
      </c>
      <c r="V139" t="s">
        <v>607</v>
      </c>
    </row>
    <row r="140" spans="1:22">
      <c r="A140">
        <v>14</v>
      </c>
      <c r="B140" s="111">
        <v>45994</v>
      </c>
      <c r="C140" s="453">
        <v>45994.625</v>
      </c>
      <c r="D140" s="453">
        <v>45994.833333333336</v>
      </c>
      <c r="E140" s="453">
        <v>45994.958333333336</v>
      </c>
      <c r="F140" s="453">
        <v>45995</v>
      </c>
      <c r="G140" s="453">
        <v>45995.166666666664</v>
      </c>
      <c r="H140" t="s">
        <v>234</v>
      </c>
      <c r="I140" t="s">
        <v>46</v>
      </c>
      <c r="J140" t="s">
        <v>12</v>
      </c>
      <c r="M140" t="s">
        <v>13</v>
      </c>
      <c r="N140">
        <v>0</v>
      </c>
      <c r="O140">
        <v>0</v>
      </c>
      <c r="P140">
        <v>0</v>
      </c>
      <c r="Q140">
        <v>0</v>
      </c>
      <c r="R140">
        <v>0</v>
      </c>
      <c r="S140" s="453">
        <v>45827.019444444442</v>
      </c>
      <c r="T140" t="s">
        <v>41</v>
      </c>
      <c r="U140" t="s">
        <v>445</v>
      </c>
      <c r="V140" t="s">
        <v>607</v>
      </c>
    </row>
    <row r="141" spans="1:22">
      <c r="A141">
        <v>14</v>
      </c>
      <c r="B141" s="111">
        <v>45994</v>
      </c>
      <c r="C141" s="453">
        <v>45994.625</v>
      </c>
      <c r="D141" s="453">
        <v>45994.833333333336</v>
      </c>
      <c r="E141" s="453">
        <v>45994.958333333336</v>
      </c>
      <c r="F141" s="453">
        <v>45995</v>
      </c>
      <c r="G141" s="453">
        <v>45995.166666666664</v>
      </c>
      <c r="H141" t="s">
        <v>332</v>
      </c>
      <c r="I141" t="s">
        <v>52</v>
      </c>
      <c r="J141" t="s">
        <v>15</v>
      </c>
      <c r="M141" t="s">
        <v>188</v>
      </c>
      <c r="N141">
        <v>0</v>
      </c>
      <c r="O141">
        <v>0</v>
      </c>
      <c r="P141">
        <v>0</v>
      </c>
      <c r="Q141">
        <v>0</v>
      </c>
      <c r="R141">
        <v>0</v>
      </c>
      <c r="S141" s="453">
        <v>45827.019444444442</v>
      </c>
      <c r="T141" t="s">
        <v>41</v>
      </c>
      <c r="U141" t="s">
        <v>445</v>
      </c>
      <c r="V141" t="s">
        <v>607</v>
      </c>
    </row>
    <row r="142" spans="1:22">
      <c r="A142">
        <v>15</v>
      </c>
      <c r="B142" s="111">
        <v>45997</v>
      </c>
      <c r="C142" s="453">
        <v>45997.416666666664</v>
      </c>
      <c r="D142" s="453">
        <v>45997.625</v>
      </c>
      <c r="E142" s="453">
        <v>45997.75</v>
      </c>
      <c r="F142" s="453">
        <v>45997.791666666664</v>
      </c>
      <c r="G142" s="453">
        <v>45997.958333333336</v>
      </c>
      <c r="H142" t="s">
        <v>143</v>
      </c>
      <c r="I142" t="s">
        <v>49</v>
      </c>
      <c r="J142" t="s">
        <v>2</v>
      </c>
      <c r="M142" t="s">
        <v>1</v>
      </c>
      <c r="N142">
        <v>0</v>
      </c>
      <c r="O142">
        <v>0</v>
      </c>
      <c r="P142">
        <v>0</v>
      </c>
      <c r="Q142">
        <v>0</v>
      </c>
      <c r="R142">
        <v>0</v>
      </c>
      <c r="S142" s="453">
        <v>45827.019444444442</v>
      </c>
      <c r="T142" t="s">
        <v>41</v>
      </c>
      <c r="U142" t="s">
        <v>445</v>
      </c>
      <c r="V142" t="s">
        <v>607</v>
      </c>
    </row>
    <row r="143" spans="1:22">
      <c r="A143">
        <v>15</v>
      </c>
      <c r="B143" s="111">
        <v>45997</v>
      </c>
      <c r="C143" s="453">
        <v>45997.416666666664</v>
      </c>
      <c r="D143" s="453">
        <v>45997.625</v>
      </c>
      <c r="E143" s="453">
        <v>45997.75</v>
      </c>
      <c r="F143" s="453">
        <v>45997.791666666664</v>
      </c>
      <c r="G143" s="453">
        <v>45997.958333333336</v>
      </c>
      <c r="H143" t="s">
        <v>239</v>
      </c>
      <c r="I143" t="s">
        <v>43</v>
      </c>
      <c r="J143" t="s">
        <v>3</v>
      </c>
      <c r="M143" t="s">
        <v>6</v>
      </c>
      <c r="N143">
        <v>0</v>
      </c>
      <c r="O143">
        <v>0</v>
      </c>
      <c r="P143">
        <v>0</v>
      </c>
      <c r="Q143">
        <v>0</v>
      </c>
      <c r="R143">
        <v>0</v>
      </c>
      <c r="S143" s="453">
        <v>45827.019444444442</v>
      </c>
      <c r="T143" t="s">
        <v>41</v>
      </c>
      <c r="U143" t="s">
        <v>445</v>
      </c>
      <c r="V143" t="s">
        <v>607</v>
      </c>
    </row>
    <row r="144" spans="1:22">
      <c r="A144">
        <v>15</v>
      </c>
      <c r="B144" s="111">
        <v>45997</v>
      </c>
      <c r="C144" s="453">
        <v>45997.416666666664</v>
      </c>
      <c r="D144" s="453">
        <v>45997.625</v>
      </c>
      <c r="E144" s="453">
        <v>45997.75</v>
      </c>
      <c r="F144" s="453">
        <v>45997.791666666664</v>
      </c>
      <c r="G144" s="453">
        <v>45997.958333333336</v>
      </c>
      <c r="H144" t="s">
        <v>407</v>
      </c>
      <c r="I144" t="s">
        <v>217</v>
      </c>
      <c r="J144" t="s">
        <v>4</v>
      </c>
      <c r="M144" t="s">
        <v>14</v>
      </c>
      <c r="N144">
        <v>0</v>
      </c>
      <c r="O144">
        <v>0</v>
      </c>
      <c r="P144">
        <v>0</v>
      </c>
      <c r="Q144">
        <v>0</v>
      </c>
      <c r="R144">
        <v>0</v>
      </c>
      <c r="S144" s="453">
        <v>45827.019444444442</v>
      </c>
      <c r="T144" t="s">
        <v>41</v>
      </c>
      <c r="U144" t="s">
        <v>445</v>
      </c>
      <c r="V144" t="s">
        <v>607</v>
      </c>
    </row>
    <row r="145" spans="1:22">
      <c r="A145">
        <v>15</v>
      </c>
      <c r="B145" s="111">
        <v>45997</v>
      </c>
      <c r="C145" s="453">
        <v>45997.416666666664</v>
      </c>
      <c r="D145" s="453">
        <v>45997.625</v>
      </c>
      <c r="E145" s="453">
        <v>45997.75</v>
      </c>
      <c r="F145" s="453">
        <v>45997.791666666664</v>
      </c>
      <c r="G145" s="453">
        <v>45997.958333333336</v>
      </c>
      <c r="H145" t="s">
        <v>321</v>
      </c>
      <c r="I145" t="s">
        <v>452</v>
      </c>
      <c r="J145" t="s">
        <v>8</v>
      </c>
      <c r="M145" t="s">
        <v>188</v>
      </c>
      <c r="N145">
        <v>0</v>
      </c>
      <c r="O145">
        <v>0</v>
      </c>
      <c r="P145">
        <v>0</v>
      </c>
      <c r="Q145">
        <v>0</v>
      </c>
      <c r="R145">
        <v>0</v>
      </c>
      <c r="S145" s="453">
        <v>45827.019444444442</v>
      </c>
      <c r="T145" t="s">
        <v>41</v>
      </c>
      <c r="U145" t="s">
        <v>445</v>
      </c>
      <c r="V145" t="s">
        <v>607</v>
      </c>
    </row>
    <row r="146" spans="1:22">
      <c r="A146">
        <v>15</v>
      </c>
      <c r="B146" s="111">
        <v>45997</v>
      </c>
      <c r="C146" s="453">
        <v>45997.416666666664</v>
      </c>
      <c r="D146" s="453">
        <v>45997.625</v>
      </c>
      <c r="E146" s="453">
        <v>45997.75</v>
      </c>
      <c r="F146" s="453">
        <v>45997.791666666664</v>
      </c>
      <c r="G146" s="453">
        <v>45997.958333333336</v>
      </c>
      <c r="H146" t="s">
        <v>171</v>
      </c>
      <c r="I146" t="s">
        <v>157</v>
      </c>
      <c r="J146" t="s">
        <v>108</v>
      </c>
      <c r="M146" t="s">
        <v>7</v>
      </c>
      <c r="N146">
        <v>0</v>
      </c>
      <c r="O146">
        <v>0</v>
      </c>
      <c r="P146">
        <v>0</v>
      </c>
      <c r="Q146">
        <v>0</v>
      </c>
      <c r="R146">
        <v>0</v>
      </c>
      <c r="S146" s="453">
        <v>45827.019444444442</v>
      </c>
      <c r="T146" t="s">
        <v>41</v>
      </c>
      <c r="U146" t="s">
        <v>445</v>
      </c>
      <c r="V146" t="s">
        <v>607</v>
      </c>
    </row>
    <row r="147" spans="1:22">
      <c r="A147">
        <v>15</v>
      </c>
      <c r="B147" s="111">
        <v>45997</v>
      </c>
      <c r="C147" s="453">
        <v>45997.416666666664</v>
      </c>
      <c r="D147" s="453">
        <v>45997.625</v>
      </c>
      <c r="E147" s="453">
        <v>45997.75</v>
      </c>
      <c r="F147" s="453">
        <v>45997.791666666664</v>
      </c>
      <c r="G147" s="453">
        <v>45997.958333333336</v>
      </c>
      <c r="H147" t="s">
        <v>528</v>
      </c>
      <c r="I147" t="s">
        <v>449</v>
      </c>
      <c r="J147" t="s">
        <v>444</v>
      </c>
      <c r="M147" t="s">
        <v>9</v>
      </c>
      <c r="N147">
        <v>0</v>
      </c>
      <c r="O147">
        <v>0</v>
      </c>
      <c r="P147">
        <v>0</v>
      </c>
      <c r="Q147">
        <v>0</v>
      </c>
      <c r="R147">
        <v>0</v>
      </c>
      <c r="S147" s="453">
        <v>45827.019444444442</v>
      </c>
      <c r="T147" t="s">
        <v>41</v>
      </c>
      <c r="U147" t="s">
        <v>445</v>
      </c>
      <c r="V147" t="s">
        <v>607</v>
      </c>
    </row>
    <row r="148" spans="1:22">
      <c r="A148">
        <v>15</v>
      </c>
      <c r="B148" s="111">
        <v>45997</v>
      </c>
      <c r="C148" s="453">
        <v>45997.416666666664</v>
      </c>
      <c r="D148" s="453">
        <v>45997.625</v>
      </c>
      <c r="E148" s="453">
        <v>45997.75</v>
      </c>
      <c r="F148" s="453">
        <v>45997.791666666664</v>
      </c>
      <c r="G148" s="453">
        <v>45997.958333333336</v>
      </c>
      <c r="H148" t="s">
        <v>476</v>
      </c>
      <c r="I148" t="s">
        <v>50</v>
      </c>
      <c r="J148" t="s">
        <v>10</v>
      </c>
      <c r="M148" t="s">
        <v>443</v>
      </c>
      <c r="N148">
        <v>0</v>
      </c>
      <c r="O148">
        <v>0</v>
      </c>
      <c r="P148">
        <v>0</v>
      </c>
      <c r="Q148">
        <v>0</v>
      </c>
      <c r="R148">
        <v>0</v>
      </c>
      <c r="S148" s="453">
        <v>45827.019444444442</v>
      </c>
      <c r="T148" t="s">
        <v>41</v>
      </c>
      <c r="U148" t="s">
        <v>445</v>
      </c>
      <c r="V148" t="s">
        <v>607</v>
      </c>
    </row>
    <row r="149" spans="1:22">
      <c r="A149">
        <v>15</v>
      </c>
      <c r="B149" s="111">
        <v>45997</v>
      </c>
      <c r="C149" s="453">
        <v>45997.416666666664</v>
      </c>
      <c r="D149" s="453">
        <v>45997.625</v>
      </c>
      <c r="E149" s="453">
        <v>45997.75</v>
      </c>
      <c r="F149" s="453">
        <v>45997.791666666664</v>
      </c>
      <c r="G149" s="453">
        <v>45997.958333333336</v>
      </c>
      <c r="H149" t="s">
        <v>477</v>
      </c>
      <c r="I149" t="s">
        <v>46</v>
      </c>
      <c r="J149" t="s">
        <v>12</v>
      </c>
      <c r="M149" t="s">
        <v>5</v>
      </c>
      <c r="N149">
        <v>0</v>
      </c>
      <c r="O149">
        <v>0</v>
      </c>
      <c r="P149">
        <v>0</v>
      </c>
      <c r="Q149">
        <v>0</v>
      </c>
      <c r="R149">
        <v>0</v>
      </c>
      <c r="S149" s="453">
        <v>45827.019444444442</v>
      </c>
      <c r="T149" t="s">
        <v>41</v>
      </c>
      <c r="U149" t="s">
        <v>445</v>
      </c>
      <c r="V149" t="s">
        <v>607</v>
      </c>
    </row>
    <row r="150" spans="1:22">
      <c r="A150">
        <v>15</v>
      </c>
      <c r="B150" s="111">
        <v>45997</v>
      </c>
      <c r="C150" s="453">
        <v>45997.416666666664</v>
      </c>
      <c r="D150" s="453">
        <v>45997.625</v>
      </c>
      <c r="E150" s="453">
        <v>45997.75</v>
      </c>
      <c r="F150" s="453">
        <v>45997.791666666664</v>
      </c>
      <c r="G150" s="453">
        <v>45997.958333333336</v>
      </c>
      <c r="H150" t="s">
        <v>246</v>
      </c>
      <c r="I150" t="s">
        <v>45</v>
      </c>
      <c r="J150" t="s">
        <v>13</v>
      </c>
      <c r="M150" t="s">
        <v>107</v>
      </c>
      <c r="N150">
        <v>0</v>
      </c>
      <c r="O150">
        <v>0</v>
      </c>
      <c r="P150">
        <v>0</v>
      </c>
      <c r="Q150">
        <v>0</v>
      </c>
      <c r="R150">
        <v>0</v>
      </c>
      <c r="S150" s="453">
        <v>45827.019444444442</v>
      </c>
      <c r="T150" t="s">
        <v>41</v>
      </c>
      <c r="U150" t="s">
        <v>445</v>
      </c>
      <c r="V150" t="s">
        <v>607</v>
      </c>
    </row>
    <row r="151" spans="1:22">
      <c r="A151">
        <v>15</v>
      </c>
      <c r="B151" s="111">
        <v>45997</v>
      </c>
      <c r="C151" s="453">
        <v>45997.416666666664</v>
      </c>
      <c r="D151" s="453">
        <v>45997.625</v>
      </c>
      <c r="E151" s="453">
        <v>45997.75</v>
      </c>
      <c r="F151" s="453">
        <v>45997.791666666664</v>
      </c>
      <c r="G151" s="453">
        <v>45997.958333333336</v>
      </c>
      <c r="H151" t="s">
        <v>319</v>
      </c>
      <c r="I151" t="s">
        <v>52</v>
      </c>
      <c r="J151" t="s">
        <v>15</v>
      </c>
      <c r="M151" t="s">
        <v>11</v>
      </c>
      <c r="N151">
        <v>0</v>
      </c>
      <c r="O151">
        <v>0</v>
      </c>
      <c r="P151">
        <v>0</v>
      </c>
      <c r="Q151">
        <v>0</v>
      </c>
      <c r="R151">
        <v>0</v>
      </c>
      <c r="S151" s="453">
        <v>45827.019444444442</v>
      </c>
      <c r="T151" t="s">
        <v>41</v>
      </c>
      <c r="U151" t="s">
        <v>445</v>
      </c>
      <c r="V151" t="s">
        <v>607</v>
      </c>
    </row>
    <row r="152" spans="1:22">
      <c r="A152">
        <v>16</v>
      </c>
      <c r="B152" s="111">
        <v>46004</v>
      </c>
      <c r="C152" s="453">
        <v>46004.416666666664</v>
      </c>
      <c r="D152" s="453">
        <v>46004.625</v>
      </c>
      <c r="E152" s="453">
        <v>46004.75</v>
      </c>
      <c r="F152" s="453">
        <v>46004.791666666664</v>
      </c>
      <c r="G152" s="453">
        <v>46004.958333333336</v>
      </c>
      <c r="H152" t="s">
        <v>220</v>
      </c>
      <c r="I152" t="s">
        <v>48</v>
      </c>
      <c r="J152" t="s">
        <v>1</v>
      </c>
      <c r="M152" t="s">
        <v>15</v>
      </c>
      <c r="N152">
        <v>0</v>
      </c>
      <c r="O152">
        <v>0</v>
      </c>
      <c r="P152">
        <v>0</v>
      </c>
      <c r="Q152">
        <v>0</v>
      </c>
      <c r="R152">
        <v>0</v>
      </c>
      <c r="S152" s="453">
        <v>45827.019444444442</v>
      </c>
      <c r="T152" t="s">
        <v>41</v>
      </c>
      <c r="U152" t="s">
        <v>445</v>
      </c>
      <c r="V152" t="s">
        <v>607</v>
      </c>
    </row>
    <row r="153" spans="1:22">
      <c r="A153">
        <v>16</v>
      </c>
      <c r="B153" s="111">
        <v>46004</v>
      </c>
      <c r="C153" s="453">
        <v>46004.416666666664</v>
      </c>
      <c r="D153" s="453">
        <v>46004.625</v>
      </c>
      <c r="E153" s="453">
        <v>46004.75</v>
      </c>
      <c r="F153" s="453">
        <v>46004.791666666664</v>
      </c>
      <c r="G153" s="453">
        <v>46004.958333333336</v>
      </c>
      <c r="H153" t="s">
        <v>529</v>
      </c>
      <c r="I153" t="s">
        <v>172</v>
      </c>
      <c r="J153" t="s">
        <v>107</v>
      </c>
      <c r="M153" t="s">
        <v>444</v>
      </c>
      <c r="N153">
        <v>0</v>
      </c>
      <c r="O153">
        <v>0</v>
      </c>
      <c r="P153">
        <v>0</v>
      </c>
      <c r="Q153">
        <v>0</v>
      </c>
      <c r="R153">
        <v>0</v>
      </c>
      <c r="S153" s="453">
        <v>45827.019444444442</v>
      </c>
      <c r="T153" t="s">
        <v>41</v>
      </c>
      <c r="U153" t="s">
        <v>445</v>
      </c>
      <c r="V153" t="s">
        <v>607</v>
      </c>
    </row>
    <row r="154" spans="1:22">
      <c r="A154">
        <v>16</v>
      </c>
      <c r="B154" s="111">
        <v>46004</v>
      </c>
      <c r="C154" s="453">
        <v>46004.416666666664</v>
      </c>
      <c r="D154" s="453">
        <v>46004.625</v>
      </c>
      <c r="E154" s="453">
        <v>46004.75</v>
      </c>
      <c r="F154" s="453">
        <v>46004.791666666664</v>
      </c>
      <c r="G154" s="453">
        <v>46004.958333333336</v>
      </c>
      <c r="H154" t="s">
        <v>478</v>
      </c>
      <c r="I154" t="s">
        <v>451</v>
      </c>
      <c r="J154" t="s">
        <v>5</v>
      </c>
      <c r="M154" t="s">
        <v>108</v>
      </c>
      <c r="N154">
        <v>0</v>
      </c>
      <c r="O154">
        <v>0</v>
      </c>
      <c r="P154">
        <v>0</v>
      </c>
      <c r="Q154">
        <v>0</v>
      </c>
      <c r="R154">
        <v>0</v>
      </c>
      <c r="S154" s="453">
        <v>45827.019444444442</v>
      </c>
      <c r="T154" t="s">
        <v>41</v>
      </c>
      <c r="U154" t="s">
        <v>445</v>
      </c>
      <c r="V154" t="s">
        <v>607</v>
      </c>
    </row>
    <row r="155" spans="1:22">
      <c r="A155">
        <v>16</v>
      </c>
      <c r="B155" s="111">
        <v>46004</v>
      </c>
      <c r="C155" s="453">
        <v>46004.416666666664</v>
      </c>
      <c r="D155" s="453">
        <v>46004.625</v>
      </c>
      <c r="E155" s="453">
        <v>46004.75</v>
      </c>
      <c r="F155" s="453">
        <v>46004.791666666664</v>
      </c>
      <c r="G155" s="453">
        <v>46004.958333333336</v>
      </c>
      <c r="H155" t="s">
        <v>131</v>
      </c>
      <c r="I155" t="s">
        <v>51</v>
      </c>
      <c r="J155" t="s">
        <v>6</v>
      </c>
      <c r="M155" t="s">
        <v>8</v>
      </c>
      <c r="N155">
        <v>0</v>
      </c>
      <c r="O155">
        <v>0</v>
      </c>
      <c r="P155">
        <v>0</v>
      </c>
      <c r="Q155">
        <v>0</v>
      </c>
      <c r="R155">
        <v>0</v>
      </c>
      <c r="S155" s="453">
        <v>45827.019444444442</v>
      </c>
      <c r="T155" t="s">
        <v>41</v>
      </c>
      <c r="U155" t="s">
        <v>445</v>
      </c>
      <c r="V155" t="s">
        <v>607</v>
      </c>
    </row>
    <row r="156" spans="1:22">
      <c r="A156">
        <v>16</v>
      </c>
      <c r="B156" s="111">
        <v>46004</v>
      </c>
      <c r="C156" s="453">
        <v>46004.416666666664</v>
      </c>
      <c r="D156" s="453">
        <v>46004.625</v>
      </c>
      <c r="E156" s="453">
        <v>46004.75</v>
      </c>
      <c r="F156" s="453">
        <v>46004.791666666664</v>
      </c>
      <c r="G156" s="453">
        <v>46004.958333333336</v>
      </c>
      <c r="H156" t="s">
        <v>302</v>
      </c>
      <c r="I156" t="s">
        <v>44</v>
      </c>
      <c r="J156" t="s">
        <v>7</v>
      </c>
      <c r="M156" t="s">
        <v>10</v>
      </c>
      <c r="N156">
        <v>0</v>
      </c>
      <c r="O156">
        <v>0</v>
      </c>
      <c r="P156">
        <v>0</v>
      </c>
      <c r="Q156">
        <v>0</v>
      </c>
      <c r="R156">
        <v>0</v>
      </c>
      <c r="S156" s="453">
        <v>45827.019444444442</v>
      </c>
      <c r="T156" t="s">
        <v>41</v>
      </c>
      <c r="U156" t="s">
        <v>445</v>
      </c>
      <c r="V156" t="s">
        <v>607</v>
      </c>
    </row>
    <row r="157" spans="1:22">
      <c r="A157">
        <v>16</v>
      </c>
      <c r="B157" s="111">
        <v>46004</v>
      </c>
      <c r="C157" s="453">
        <v>46004.416666666664</v>
      </c>
      <c r="D157" s="453">
        <v>46004.625</v>
      </c>
      <c r="E157" s="453">
        <v>46004.75</v>
      </c>
      <c r="F157" s="453">
        <v>46004.791666666664</v>
      </c>
      <c r="G157" s="453">
        <v>46004.958333333336</v>
      </c>
      <c r="H157" t="s">
        <v>275</v>
      </c>
      <c r="I157" t="s">
        <v>40</v>
      </c>
      <c r="J157" t="s">
        <v>9</v>
      </c>
      <c r="M157" t="s">
        <v>4</v>
      </c>
      <c r="N157">
        <v>0</v>
      </c>
      <c r="O157">
        <v>0</v>
      </c>
      <c r="P157">
        <v>0</v>
      </c>
      <c r="Q157">
        <v>0</v>
      </c>
      <c r="R157">
        <v>0</v>
      </c>
      <c r="S157" s="453">
        <v>45827.019444444442</v>
      </c>
      <c r="T157" t="s">
        <v>41</v>
      </c>
      <c r="U157" t="s">
        <v>445</v>
      </c>
      <c r="V157" t="s">
        <v>607</v>
      </c>
    </row>
    <row r="158" spans="1:22">
      <c r="A158">
        <v>16</v>
      </c>
      <c r="B158" s="111">
        <v>46004</v>
      </c>
      <c r="C158" s="453">
        <v>46004.416666666664</v>
      </c>
      <c r="D158" s="453">
        <v>46004.625</v>
      </c>
      <c r="E158" s="453">
        <v>46004.75</v>
      </c>
      <c r="F158" s="453">
        <v>46004.791666666664</v>
      </c>
      <c r="G158" s="453">
        <v>46004.958333333336</v>
      </c>
      <c r="H158" t="s">
        <v>313</v>
      </c>
      <c r="I158" t="s">
        <v>47</v>
      </c>
      <c r="J158" t="s">
        <v>11</v>
      </c>
      <c r="M158" t="s">
        <v>3</v>
      </c>
      <c r="N158">
        <v>0</v>
      </c>
      <c r="O158">
        <v>0</v>
      </c>
      <c r="P158">
        <v>0</v>
      </c>
      <c r="Q158">
        <v>0</v>
      </c>
      <c r="R158">
        <v>0</v>
      </c>
      <c r="S158" s="453">
        <v>45827.019444444442</v>
      </c>
      <c r="T158" t="s">
        <v>41</v>
      </c>
      <c r="U158" t="s">
        <v>445</v>
      </c>
      <c r="V158" t="s">
        <v>607</v>
      </c>
    </row>
    <row r="159" spans="1:22">
      <c r="A159">
        <v>16</v>
      </c>
      <c r="B159" s="111">
        <v>46004</v>
      </c>
      <c r="C159" s="453">
        <v>46004.416666666664</v>
      </c>
      <c r="D159" s="453">
        <v>46004.625</v>
      </c>
      <c r="E159" s="453">
        <v>46004.75</v>
      </c>
      <c r="F159" s="453">
        <v>46004.791666666664</v>
      </c>
      <c r="G159" s="453">
        <v>46004.958333333336</v>
      </c>
      <c r="H159" t="s">
        <v>318</v>
      </c>
      <c r="I159" t="s">
        <v>158</v>
      </c>
      <c r="J159" t="s">
        <v>188</v>
      </c>
      <c r="M159" t="s">
        <v>13</v>
      </c>
      <c r="N159">
        <v>0</v>
      </c>
      <c r="O159">
        <v>0</v>
      </c>
      <c r="P159">
        <v>0</v>
      </c>
      <c r="Q159">
        <v>0</v>
      </c>
      <c r="R159">
        <v>0</v>
      </c>
      <c r="S159" s="453">
        <v>45827.019444444442</v>
      </c>
      <c r="T159" t="s">
        <v>41</v>
      </c>
      <c r="U159" t="s">
        <v>445</v>
      </c>
      <c r="V159" t="s">
        <v>607</v>
      </c>
    </row>
    <row r="160" spans="1:22">
      <c r="A160">
        <v>16</v>
      </c>
      <c r="B160" s="111">
        <v>46004</v>
      </c>
      <c r="C160" s="453">
        <v>46004.416666666664</v>
      </c>
      <c r="D160" s="453">
        <v>46004.625</v>
      </c>
      <c r="E160" s="453">
        <v>46004.75</v>
      </c>
      <c r="F160" s="453">
        <v>46004.791666666664</v>
      </c>
      <c r="G160" s="453">
        <v>46004.958333333336</v>
      </c>
      <c r="H160" t="s">
        <v>479</v>
      </c>
      <c r="I160" t="s">
        <v>448</v>
      </c>
      <c r="J160" t="s">
        <v>443</v>
      </c>
      <c r="M160" t="s">
        <v>12</v>
      </c>
      <c r="N160">
        <v>0</v>
      </c>
      <c r="O160">
        <v>0</v>
      </c>
      <c r="P160">
        <v>0</v>
      </c>
      <c r="Q160">
        <v>0</v>
      </c>
      <c r="R160">
        <v>0</v>
      </c>
      <c r="S160" s="453">
        <v>45827.019444444442</v>
      </c>
      <c r="T160" t="s">
        <v>41</v>
      </c>
      <c r="U160" t="s">
        <v>445</v>
      </c>
      <c r="V160" t="s">
        <v>607</v>
      </c>
    </row>
    <row r="161" spans="1:22">
      <c r="A161">
        <v>16</v>
      </c>
      <c r="B161" s="111">
        <v>46004</v>
      </c>
      <c r="C161" s="453">
        <v>46004.416666666664</v>
      </c>
      <c r="D161" s="453">
        <v>46004.625</v>
      </c>
      <c r="E161" s="453">
        <v>46004.75</v>
      </c>
      <c r="F161" s="453">
        <v>46004.791666666664</v>
      </c>
      <c r="G161" s="453">
        <v>46004.958333333336</v>
      </c>
      <c r="H161" t="s">
        <v>223</v>
      </c>
      <c r="I161" t="s">
        <v>42</v>
      </c>
      <c r="J161" t="s">
        <v>14</v>
      </c>
      <c r="M161" t="s">
        <v>2</v>
      </c>
      <c r="N161">
        <v>0</v>
      </c>
      <c r="O161">
        <v>0</v>
      </c>
      <c r="P161">
        <v>0</v>
      </c>
      <c r="Q161">
        <v>0</v>
      </c>
      <c r="R161">
        <v>0</v>
      </c>
      <c r="S161" s="453">
        <v>45827.019444444442</v>
      </c>
      <c r="T161" t="s">
        <v>41</v>
      </c>
      <c r="U161" t="s">
        <v>445</v>
      </c>
      <c r="V161" t="s">
        <v>607</v>
      </c>
    </row>
    <row r="162" spans="1:22">
      <c r="A162">
        <v>17</v>
      </c>
      <c r="B162" s="111">
        <v>46011</v>
      </c>
      <c r="C162" s="453">
        <v>46011.416666666664</v>
      </c>
      <c r="D162" s="453">
        <v>46011.625</v>
      </c>
      <c r="E162" s="453">
        <v>46011.75</v>
      </c>
      <c r="F162" s="453">
        <v>46011.791666666664</v>
      </c>
      <c r="G162" s="453">
        <v>46011.958333333336</v>
      </c>
      <c r="H162" t="s">
        <v>259</v>
      </c>
      <c r="I162" t="s">
        <v>49</v>
      </c>
      <c r="J162" t="s">
        <v>2</v>
      </c>
      <c r="M162" t="s">
        <v>11</v>
      </c>
      <c r="N162">
        <v>0</v>
      </c>
      <c r="O162">
        <v>0</v>
      </c>
      <c r="P162">
        <v>0</v>
      </c>
      <c r="Q162">
        <v>0</v>
      </c>
      <c r="R162">
        <v>0</v>
      </c>
      <c r="S162" s="453">
        <v>45827.020138888889</v>
      </c>
      <c r="T162" t="s">
        <v>41</v>
      </c>
      <c r="U162" t="s">
        <v>445</v>
      </c>
      <c r="V162" t="s">
        <v>607</v>
      </c>
    </row>
    <row r="163" spans="1:22">
      <c r="A163">
        <v>17</v>
      </c>
      <c r="B163" s="111">
        <v>46011</v>
      </c>
      <c r="C163" s="453">
        <v>46011.416666666664</v>
      </c>
      <c r="D163" s="453">
        <v>46011.625</v>
      </c>
      <c r="E163" s="453">
        <v>46011.75</v>
      </c>
      <c r="F163" s="453">
        <v>46011.791666666664</v>
      </c>
      <c r="G163" s="453">
        <v>46011.958333333336</v>
      </c>
      <c r="H163" t="s">
        <v>480</v>
      </c>
      <c r="I163" t="s">
        <v>43</v>
      </c>
      <c r="J163" t="s">
        <v>3</v>
      </c>
      <c r="M163" t="s">
        <v>5</v>
      </c>
      <c r="N163">
        <v>0</v>
      </c>
      <c r="O163">
        <v>0</v>
      </c>
      <c r="P163">
        <v>0</v>
      </c>
      <c r="Q163">
        <v>0</v>
      </c>
      <c r="R163">
        <v>0</v>
      </c>
      <c r="S163" s="453">
        <v>45827.020138888889</v>
      </c>
      <c r="T163" t="s">
        <v>41</v>
      </c>
      <c r="U163" t="s">
        <v>445</v>
      </c>
      <c r="V163" t="s">
        <v>607</v>
      </c>
    </row>
    <row r="164" spans="1:22">
      <c r="A164">
        <v>17</v>
      </c>
      <c r="B164" s="111">
        <v>46011</v>
      </c>
      <c r="C164" s="453">
        <v>46011.416666666664</v>
      </c>
      <c r="D164" s="453">
        <v>46011.625</v>
      </c>
      <c r="E164" s="453">
        <v>46011.75</v>
      </c>
      <c r="F164" s="453">
        <v>46011.791666666664</v>
      </c>
      <c r="G164" s="453">
        <v>46011.958333333336</v>
      </c>
      <c r="H164" t="s">
        <v>481</v>
      </c>
      <c r="I164" t="s">
        <v>217</v>
      </c>
      <c r="J164" t="s">
        <v>4</v>
      </c>
      <c r="M164" t="s">
        <v>443</v>
      </c>
      <c r="N164">
        <v>0</v>
      </c>
      <c r="O164">
        <v>0</v>
      </c>
      <c r="P164">
        <v>0</v>
      </c>
      <c r="Q164">
        <v>0</v>
      </c>
      <c r="R164">
        <v>0</v>
      </c>
      <c r="S164" s="453">
        <v>45827.020138888889</v>
      </c>
      <c r="T164" t="s">
        <v>41</v>
      </c>
      <c r="U164" t="s">
        <v>445</v>
      </c>
      <c r="V164" t="s">
        <v>607</v>
      </c>
    </row>
    <row r="165" spans="1:22">
      <c r="A165">
        <v>17</v>
      </c>
      <c r="B165" s="111">
        <v>46011</v>
      </c>
      <c r="C165" s="453">
        <v>46011.416666666664</v>
      </c>
      <c r="D165" s="453">
        <v>46011.625</v>
      </c>
      <c r="E165" s="453">
        <v>46011.75</v>
      </c>
      <c r="F165" s="453">
        <v>46011.791666666664</v>
      </c>
      <c r="G165" s="453">
        <v>46011.958333333336</v>
      </c>
      <c r="H165" t="s">
        <v>128</v>
      </c>
      <c r="I165" t="s">
        <v>452</v>
      </c>
      <c r="J165" t="s">
        <v>8</v>
      </c>
      <c r="M165" t="s">
        <v>1</v>
      </c>
      <c r="N165">
        <v>0</v>
      </c>
      <c r="O165">
        <v>0</v>
      </c>
      <c r="P165">
        <v>0</v>
      </c>
      <c r="Q165">
        <v>0</v>
      </c>
      <c r="R165">
        <v>0</v>
      </c>
      <c r="S165" s="453">
        <v>45827.020138888889</v>
      </c>
      <c r="T165" t="s">
        <v>41</v>
      </c>
      <c r="U165" t="s">
        <v>445</v>
      </c>
      <c r="V165" t="s">
        <v>607</v>
      </c>
    </row>
    <row r="166" spans="1:22">
      <c r="A166">
        <v>17</v>
      </c>
      <c r="B166" s="111">
        <v>46011</v>
      </c>
      <c r="C166" s="453">
        <v>46011.416666666664</v>
      </c>
      <c r="D166" s="453">
        <v>46011.625</v>
      </c>
      <c r="E166" s="453">
        <v>46011.75</v>
      </c>
      <c r="F166" s="453">
        <v>46011.791666666664</v>
      </c>
      <c r="G166" s="453">
        <v>46011.958333333336</v>
      </c>
      <c r="H166" t="s">
        <v>359</v>
      </c>
      <c r="I166" t="s">
        <v>157</v>
      </c>
      <c r="J166" t="s">
        <v>108</v>
      </c>
      <c r="M166" t="s">
        <v>188</v>
      </c>
      <c r="N166">
        <v>0</v>
      </c>
      <c r="O166">
        <v>0</v>
      </c>
      <c r="P166">
        <v>0</v>
      </c>
      <c r="Q166">
        <v>0</v>
      </c>
      <c r="R166">
        <v>0</v>
      </c>
      <c r="S166" s="453">
        <v>45827.020138888889</v>
      </c>
      <c r="T166" t="s">
        <v>41</v>
      </c>
      <c r="U166" t="s">
        <v>445</v>
      </c>
      <c r="V166" t="s">
        <v>607</v>
      </c>
    </row>
    <row r="167" spans="1:22">
      <c r="A167">
        <v>17</v>
      </c>
      <c r="B167" s="111">
        <v>46011</v>
      </c>
      <c r="C167" s="453">
        <v>46011.416666666664</v>
      </c>
      <c r="D167" s="453">
        <v>46011.625</v>
      </c>
      <c r="E167" s="453">
        <v>46011.75</v>
      </c>
      <c r="F167" s="453">
        <v>46011.791666666664</v>
      </c>
      <c r="G167" s="453">
        <v>46011.958333333336</v>
      </c>
      <c r="H167" t="s">
        <v>530</v>
      </c>
      <c r="I167" t="s">
        <v>449</v>
      </c>
      <c r="J167" t="s">
        <v>444</v>
      </c>
      <c r="M167" t="s">
        <v>7</v>
      </c>
      <c r="N167">
        <v>0</v>
      </c>
      <c r="O167">
        <v>0</v>
      </c>
      <c r="P167">
        <v>0</v>
      </c>
      <c r="Q167">
        <v>0</v>
      </c>
      <c r="R167">
        <v>0</v>
      </c>
      <c r="S167" s="453">
        <v>45827.020138888889</v>
      </c>
      <c r="T167" t="s">
        <v>41</v>
      </c>
      <c r="U167" t="s">
        <v>445</v>
      </c>
      <c r="V167" t="s">
        <v>607</v>
      </c>
    </row>
    <row r="168" spans="1:22">
      <c r="A168">
        <v>17</v>
      </c>
      <c r="B168" s="111">
        <v>46011</v>
      </c>
      <c r="C168" s="453">
        <v>46011.416666666664</v>
      </c>
      <c r="D168" s="453">
        <v>46011.625</v>
      </c>
      <c r="E168" s="453">
        <v>46011.75</v>
      </c>
      <c r="F168" s="453">
        <v>46011.791666666664</v>
      </c>
      <c r="G168" s="453">
        <v>46011.958333333336</v>
      </c>
      <c r="H168" t="s">
        <v>329</v>
      </c>
      <c r="I168" t="s">
        <v>50</v>
      </c>
      <c r="J168" t="s">
        <v>10</v>
      </c>
      <c r="M168" t="s">
        <v>14</v>
      </c>
      <c r="N168">
        <v>0</v>
      </c>
      <c r="O168">
        <v>0</v>
      </c>
      <c r="P168">
        <v>0</v>
      </c>
      <c r="Q168">
        <v>0</v>
      </c>
      <c r="R168">
        <v>0</v>
      </c>
      <c r="S168" s="453">
        <v>45827.020138888889</v>
      </c>
      <c r="T168" t="s">
        <v>41</v>
      </c>
      <c r="U168" t="s">
        <v>445</v>
      </c>
      <c r="V168" t="s">
        <v>607</v>
      </c>
    </row>
    <row r="169" spans="1:22">
      <c r="A169">
        <v>17</v>
      </c>
      <c r="B169" s="111">
        <v>46011</v>
      </c>
      <c r="C169" s="453">
        <v>46011.416666666664</v>
      </c>
      <c r="D169" s="453">
        <v>46011.625</v>
      </c>
      <c r="E169" s="453">
        <v>46011.75</v>
      </c>
      <c r="F169" s="453">
        <v>46011.791666666664</v>
      </c>
      <c r="G169" s="453">
        <v>46011.958333333336</v>
      </c>
      <c r="H169" t="s">
        <v>419</v>
      </c>
      <c r="I169" t="s">
        <v>46</v>
      </c>
      <c r="J169" t="s">
        <v>12</v>
      </c>
      <c r="M169" t="s">
        <v>6</v>
      </c>
      <c r="N169">
        <v>0</v>
      </c>
      <c r="O169">
        <v>0</v>
      </c>
      <c r="P169">
        <v>0</v>
      </c>
      <c r="Q169">
        <v>0</v>
      </c>
      <c r="R169">
        <v>0</v>
      </c>
      <c r="S169" s="453">
        <v>45827.020138888889</v>
      </c>
      <c r="T169" t="s">
        <v>41</v>
      </c>
      <c r="U169" t="s">
        <v>445</v>
      </c>
      <c r="V169" t="s">
        <v>607</v>
      </c>
    </row>
    <row r="170" spans="1:22">
      <c r="A170">
        <v>17</v>
      </c>
      <c r="B170" s="111">
        <v>46011</v>
      </c>
      <c r="C170" s="453">
        <v>46011.416666666664</v>
      </c>
      <c r="D170" s="453">
        <v>46011.625</v>
      </c>
      <c r="E170" s="453">
        <v>46011.75</v>
      </c>
      <c r="F170" s="453">
        <v>46011.791666666664</v>
      </c>
      <c r="G170" s="453">
        <v>46011.958333333336</v>
      </c>
      <c r="H170" t="s">
        <v>314</v>
      </c>
      <c r="I170" t="s">
        <v>45</v>
      </c>
      <c r="J170" t="s">
        <v>13</v>
      </c>
      <c r="M170" t="s">
        <v>9</v>
      </c>
      <c r="N170">
        <v>0</v>
      </c>
      <c r="O170">
        <v>0</v>
      </c>
      <c r="P170">
        <v>0</v>
      </c>
      <c r="Q170">
        <v>0</v>
      </c>
      <c r="R170">
        <v>0</v>
      </c>
      <c r="S170" s="453">
        <v>45827.020138888889</v>
      </c>
      <c r="T170" t="s">
        <v>41</v>
      </c>
      <c r="U170" t="s">
        <v>445</v>
      </c>
      <c r="V170" t="s">
        <v>607</v>
      </c>
    </row>
    <row r="171" spans="1:22">
      <c r="A171">
        <v>17</v>
      </c>
      <c r="B171" s="111">
        <v>46011</v>
      </c>
      <c r="C171" s="453">
        <v>46011.416666666664</v>
      </c>
      <c r="D171" s="453">
        <v>46011.625</v>
      </c>
      <c r="E171" s="453">
        <v>46011.75</v>
      </c>
      <c r="F171" s="453">
        <v>46011.791666666664</v>
      </c>
      <c r="G171" s="453">
        <v>46011.958333333336</v>
      </c>
      <c r="H171" t="s">
        <v>434</v>
      </c>
      <c r="I171" t="s">
        <v>52</v>
      </c>
      <c r="J171" t="s">
        <v>15</v>
      </c>
      <c r="M171" t="s">
        <v>107</v>
      </c>
      <c r="N171">
        <v>0</v>
      </c>
      <c r="O171">
        <v>0</v>
      </c>
      <c r="P171">
        <v>0</v>
      </c>
      <c r="Q171">
        <v>0</v>
      </c>
      <c r="R171">
        <v>0</v>
      </c>
      <c r="S171" s="453">
        <v>45827.020138888889</v>
      </c>
      <c r="T171" t="s">
        <v>41</v>
      </c>
      <c r="U171" t="s">
        <v>445</v>
      </c>
      <c r="V171" t="s">
        <v>607</v>
      </c>
    </row>
    <row r="172" spans="1:22">
      <c r="A172">
        <v>18</v>
      </c>
      <c r="B172" s="111">
        <v>46018</v>
      </c>
      <c r="C172" s="453">
        <v>46018.416666666664</v>
      </c>
      <c r="D172" s="453">
        <v>46018.625</v>
      </c>
      <c r="E172" s="453">
        <v>46018.75</v>
      </c>
      <c r="F172" s="453">
        <v>46018.791666666664</v>
      </c>
      <c r="G172" s="453">
        <v>46018.958333333336</v>
      </c>
      <c r="H172" t="s">
        <v>230</v>
      </c>
      <c r="I172" t="s">
        <v>48</v>
      </c>
      <c r="J172" t="s">
        <v>1</v>
      </c>
      <c r="M172" t="s">
        <v>4</v>
      </c>
      <c r="N172">
        <v>0</v>
      </c>
      <c r="O172">
        <v>0</v>
      </c>
      <c r="P172">
        <v>0</v>
      </c>
      <c r="Q172">
        <v>0</v>
      </c>
      <c r="R172">
        <v>0</v>
      </c>
      <c r="S172" s="453">
        <v>45827.020138888889</v>
      </c>
      <c r="T172" t="s">
        <v>41</v>
      </c>
      <c r="U172" t="s">
        <v>445</v>
      </c>
      <c r="V172" t="s">
        <v>607</v>
      </c>
    </row>
    <row r="173" spans="1:22">
      <c r="A173">
        <v>18</v>
      </c>
      <c r="B173" s="111">
        <v>46018</v>
      </c>
      <c r="C173" s="453">
        <v>46018.416666666664</v>
      </c>
      <c r="D173" s="453">
        <v>46018.625</v>
      </c>
      <c r="E173" s="453">
        <v>46018.75</v>
      </c>
      <c r="F173" s="453">
        <v>46018.791666666664</v>
      </c>
      <c r="G173" s="453">
        <v>46018.958333333336</v>
      </c>
      <c r="H173" t="s">
        <v>280</v>
      </c>
      <c r="I173" t="s">
        <v>172</v>
      </c>
      <c r="J173" t="s">
        <v>107</v>
      </c>
      <c r="M173" t="s">
        <v>3</v>
      </c>
      <c r="N173">
        <v>0</v>
      </c>
      <c r="O173">
        <v>0</v>
      </c>
      <c r="P173">
        <v>0</v>
      </c>
      <c r="Q173">
        <v>0</v>
      </c>
      <c r="R173">
        <v>0</v>
      </c>
      <c r="S173" s="453">
        <v>45827.020138888889</v>
      </c>
      <c r="T173" t="s">
        <v>41</v>
      </c>
      <c r="U173" t="s">
        <v>445</v>
      </c>
      <c r="V173" t="s">
        <v>607</v>
      </c>
    </row>
    <row r="174" spans="1:22">
      <c r="A174">
        <v>18</v>
      </c>
      <c r="B174" s="111">
        <v>46018</v>
      </c>
      <c r="C174" s="453">
        <v>46018.416666666664</v>
      </c>
      <c r="D174" s="453">
        <v>46018.625</v>
      </c>
      <c r="E174" s="453">
        <v>46018.75</v>
      </c>
      <c r="F174" s="453">
        <v>46018.791666666664</v>
      </c>
      <c r="G174" s="453">
        <v>46018.958333333336</v>
      </c>
      <c r="H174" t="s">
        <v>482</v>
      </c>
      <c r="I174" t="s">
        <v>451</v>
      </c>
      <c r="J174" t="s">
        <v>5</v>
      </c>
      <c r="M174" t="s">
        <v>8</v>
      </c>
      <c r="N174">
        <v>0</v>
      </c>
      <c r="O174">
        <v>0</v>
      </c>
      <c r="P174">
        <v>0</v>
      </c>
      <c r="Q174">
        <v>0</v>
      </c>
      <c r="R174">
        <v>0</v>
      </c>
      <c r="S174" s="453">
        <v>45827.020138888889</v>
      </c>
      <c r="T174" t="s">
        <v>41</v>
      </c>
      <c r="U174" t="s">
        <v>445</v>
      </c>
      <c r="V174" t="s">
        <v>607</v>
      </c>
    </row>
    <row r="175" spans="1:22">
      <c r="A175">
        <v>18</v>
      </c>
      <c r="B175" s="111">
        <v>46018</v>
      </c>
      <c r="C175" s="453">
        <v>46018.416666666664</v>
      </c>
      <c r="D175" s="453">
        <v>46018.625</v>
      </c>
      <c r="E175" s="453">
        <v>46018.75</v>
      </c>
      <c r="F175" s="453">
        <v>46018.791666666664</v>
      </c>
      <c r="G175" s="453">
        <v>46018.958333333336</v>
      </c>
      <c r="H175" t="s">
        <v>117</v>
      </c>
      <c r="I175" t="s">
        <v>51</v>
      </c>
      <c r="J175" t="s">
        <v>6</v>
      </c>
      <c r="M175" t="s">
        <v>2</v>
      </c>
      <c r="N175">
        <v>0</v>
      </c>
      <c r="O175">
        <v>0</v>
      </c>
      <c r="P175">
        <v>0</v>
      </c>
      <c r="Q175">
        <v>0</v>
      </c>
      <c r="R175">
        <v>0</v>
      </c>
      <c r="S175" s="453">
        <v>45827.020138888889</v>
      </c>
      <c r="T175" t="s">
        <v>41</v>
      </c>
      <c r="U175" t="s">
        <v>445</v>
      </c>
      <c r="V175" t="s">
        <v>607</v>
      </c>
    </row>
    <row r="176" spans="1:22">
      <c r="A176">
        <v>18</v>
      </c>
      <c r="B176" s="111">
        <v>46018</v>
      </c>
      <c r="C176" s="453">
        <v>46018.416666666664</v>
      </c>
      <c r="D176" s="453">
        <v>46018.625</v>
      </c>
      <c r="E176" s="453">
        <v>46018.75</v>
      </c>
      <c r="F176" s="453">
        <v>46018.791666666664</v>
      </c>
      <c r="G176" s="453">
        <v>46018.958333333336</v>
      </c>
      <c r="H176" t="s">
        <v>271</v>
      </c>
      <c r="I176" t="s">
        <v>44</v>
      </c>
      <c r="J176" t="s">
        <v>7</v>
      </c>
      <c r="M176" t="s">
        <v>13</v>
      </c>
      <c r="N176">
        <v>0</v>
      </c>
      <c r="O176">
        <v>0</v>
      </c>
      <c r="P176">
        <v>0</v>
      </c>
      <c r="Q176">
        <v>0</v>
      </c>
      <c r="R176">
        <v>0</v>
      </c>
      <c r="S176" s="453">
        <v>45827.020138888889</v>
      </c>
      <c r="T176" t="s">
        <v>41</v>
      </c>
      <c r="U176" t="s">
        <v>445</v>
      </c>
      <c r="V176" t="s">
        <v>607</v>
      </c>
    </row>
    <row r="177" spans="1:22">
      <c r="A177">
        <v>18</v>
      </c>
      <c r="B177" s="111">
        <v>46018</v>
      </c>
      <c r="C177" s="453">
        <v>46018.416666666664</v>
      </c>
      <c r="D177" s="453">
        <v>46018.625</v>
      </c>
      <c r="E177" s="453">
        <v>46018.75</v>
      </c>
      <c r="F177" s="453">
        <v>46018.791666666664</v>
      </c>
      <c r="G177" s="453">
        <v>46018.958333333336</v>
      </c>
      <c r="H177" t="s">
        <v>360</v>
      </c>
      <c r="I177" t="s">
        <v>40</v>
      </c>
      <c r="J177" t="s">
        <v>9</v>
      </c>
      <c r="M177" t="s">
        <v>15</v>
      </c>
      <c r="N177">
        <v>0</v>
      </c>
      <c r="O177">
        <v>0</v>
      </c>
      <c r="P177">
        <v>0</v>
      </c>
      <c r="Q177">
        <v>0</v>
      </c>
      <c r="R177">
        <v>0</v>
      </c>
      <c r="S177" s="453">
        <v>45827.020138888889</v>
      </c>
      <c r="T177" t="s">
        <v>41</v>
      </c>
      <c r="U177" t="s">
        <v>445</v>
      </c>
      <c r="V177" t="s">
        <v>607</v>
      </c>
    </row>
    <row r="178" spans="1:22">
      <c r="A178">
        <v>18</v>
      </c>
      <c r="B178" s="111">
        <v>46018</v>
      </c>
      <c r="C178" s="453">
        <v>46018.416666666664</v>
      </c>
      <c r="D178" s="453">
        <v>46018.625</v>
      </c>
      <c r="E178" s="453">
        <v>46018.75</v>
      </c>
      <c r="F178" s="453">
        <v>46018.791666666664</v>
      </c>
      <c r="G178" s="453">
        <v>46018.958333333336</v>
      </c>
      <c r="H178" t="s">
        <v>326</v>
      </c>
      <c r="I178" t="s">
        <v>47</v>
      </c>
      <c r="J178" t="s">
        <v>11</v>
      </c>
      <c r="M178" t="s">
        <v>12</v>
      </c>
      <c r="N178">
        <v>0</v>
      </c>
      <c r="O178">
        <v>0</v>
      </c>
      <c r="P178">
        <v>0</v>
      </c>
      <c r="Q178">
        <v>0</v>
      </c>
      <c r="R178">
        <v>0</v>
      </c>
      <c r="S178" s="453">
        <v>45827.020138888889</v>
      </c>
      <c r="T178" t="s">
        <v>41</v>
      </c>
      <c r="U178" t="s">
        <v>445</v>
      </c>
      <c r="V178" t="s">
        <v>607</v>
      </c>
    </row>
    <row r="179" spans="1:22">
      <c r="A179">
        <v>18</v>
      </c>
      <c r="B179" s="111">
        <v>46018</v>
      </c>
      <c r="C179" s="453">
        <v>46018.416666666664</v>
      </c>
      <c r="D179" s="453">
        <v>46018.625</v>
      </c>
      <c r="E179" s="453">
        <v>46018.75</v>
      </c>
      <c r="F179" s="453">
        <v>46018.791666666664</v>
      </c>
      <c r="G179" s="453">
        <v>46018.958333333336</v>
      </c>
      <c r="H179" t="s">
        <v>376</v>
      </c>
      <c r="I179" t="s">
        <v>158</v>
      </c>
      <c r="J179" t="s">
        <v>188</v>
      </c>
      <c r="M179" t="s">
        <v>10</v>
      </c>
      <c r="N179">
        <v>0</v>
      </c>
      <c r="O179">
        <v>0</v>
      </c>
      <c r="P179">
        <v>0</v>
      </c>
      <c r="Q179">
        <v>0</v>
      </c>
      <c r="R179">
        <v>0</v>
      </c>
      <c r="S179" s="453">
        <v>45827.020138888889</v>
      </c>
      <c r="T179" t="s">
        <v>41</v>
      </c>
      <c r="U179" t="s">
        <v>445</v>
      </c>
      <c r="V179" t="s">
        <v>607</v>
      </c>
    </row>
    <row r="180" spans="1:22">
      <c r="A180">
        <v>18</v>
      </c>
      <c r="B180" s="111">
        <v>46018</v>
      </c>
      <c r="C180" s="453">
        <v>46018.416666666664</v>
      </c>
      <c r="D180" s="453">
        <v>46018.625</v>
      </c>
      <c r="E180" s="453">
        <v>46018.75</v>
      </c>
      <c r="F180" s="453">
        <v>46018.791666666664</v>
      </c>
      <c r="G180" s="453">
        <v>46018.958333333336</v>
      </c>
      <c r="H180" t="s">
        <v>531</v>
      </c>
      <c r="I180" t="s">
        <v>448</v>
      </c>
      <c r="J180" t="s">
        <v>443</v>
      </c>
      <c r="M180" t="s">
        <v>444</v>
      </c>
      <c r="N180">
        <v>0</v>
      </c>
      <c r="O180">
        <v>0</v>
      </c>
      <c r="P180">
        <v>0</v>
      </c>
      <c r="Q180">
        <v>0</v>
      </c>
      <c r="R180">
        <v>0</v>
      </c>
      <c r="S180" s="453">
        <v>45827.020138888889</v>
      </c>
      <c r="T180" t="s">
        <v>41</v>
      </c>
      <c r="U180" t="s">
        <v>445</v>
      </c>
      <c r="V180" t="s">
        <v>607</v>
      </c>
    </row>
    <row r="181" spans="1:22">
      <c r="A181">
        <v>18</v>
      </c>
      <c r="B181" s="111">
        <v>46018</v>
      </c>
      <c r="C181" s="453">
        <v>46018.416666666664</v>
      </c>
      <c r="D181" s="453">
        <v>46018.625</v>
      </c>
      <c r="E181" s="453">
        <v>46018.75</v>
      </c>
      <c r="F181" s="453">
        <v>46018.791666666664</v>
      </c>
      <c r="G181" s="453">
        <v>46018.958333333336</v>
      </c>
      <c r="H181" t="s">
        <v>335</v>
      </c>
      <c r="I181" t="s">
        <v>42</v>
      </c>
      <c r="J181" t="s">
        <v>14</v>
      </c>
      <c r="M181" t="s">
        <v>108</v>
      </c>
      <c r="N181">
        <v>0</v>
      </c>
      <c r="O181">
        <v>0</v>
      </c>
      <c r="P181">
        <v>0</v>
      </c>
      <c r="Q181">
        <v>0</v>
      </c>
      <c r="R181">
        <v>0</v>
      </c>
      <c r="S181" s="453">
        <v>45827.020138888889</v>
      </c>
      <c r="T181" t="s">
        <v>41</v>
      </c>
      <c r="U181" t="s">
        <v>445</v>
      </c>
      <c r="V181" t="s">
        <v>607</v>
      </c>
    </row>
    <row r="182" spans="1:22">
      <c r="A182">
        <v>19</v>
      </c>
      <c r="B182" s="111">
        <v>46021</v>
      </c>
      <c r="C182" s="453">
        <v>46021.625</v>
      </c>
      <c r="D182" s="453">
        <v>46021.833333333336</v>
      </c>
      <c r="E182" s="453">
        <v>46021.958333333336</v>
      </c>
      <c r="F182" s="453">
        <v>46022</v>
      </c>
      <c r="G182" s="453">
        <v>46022.166666666664</v>
      </c>
      <c r="H182" t="s">
        <v>123</v>
      </c>
      <c r="I182" t="s">
        <v>48</v>
      </c>
      <c r="J182" t="s">
        <v>1</v>
      </c>
      <c r="M182" t="s">
        <v>2</v>
      </c>
      <c r="N182">
        <v>0</v>
      </c>
      <c r="O182">
        <v>0</v>
      </c>
      <c r="P182">
        <v>0</v>
      </c>
      <c r="Q182">
        <v>0</v>
      </c>
      <c r="R182">
        <v>0</v>
      </c>
      <c r="S182" s="453">
        <v>45827.020138888889</v>
      </c>
      <c r="T182" t="s">
        <v>41</v>
      </c>
      <c r="U182" t="s">
        <v>445</v>
      </c>
      <c r="V182" t="s">
        <v>607</v>
      </c>
    </row>
    <row r="183" spans="1:22">
      <c r="A183">
        <v>19</v>
      </c>
      <c r="B183" s="111">
        <v>46021</v>
      </c>
      <c r="C183" s="453">
        <v>46021.625</v>
      </c>
      <c r="D183" s="453">
        <v>46021.833333333336</v>
      </c>
      <c r="E183" s="453">
        <v>46021.958333333336</v>
      </c>
      <c r="F183" s="453">
        <v>46022</v>
      </c>
      <c r="G183" s="453">
        <v>46022.166666666664</v>
      </c>
      <c r="H183" t="s">
        <v>352</v>
      </c>
      <c r="I183" t="s">
        <v>172</v>
      </c>
      <c r="J183" t="s">
        <v>107</v>
      </c>
      <c r="M183" t="s">
        <v>13</v>
      </c>
      <c r="N183">
        <v>0</v>
      </c>
      <c r="O183">
        <v>0</v>
      </c>
      <c r="P183">
        <v>0</v>
      </c>
      <c r="Q183">
        <v>0</v>
      </c>
      <c r="R183">
        <v>0</v>
      </c>
      <c r="S183" s="453">
        <v>45827.020138888889</v>
      </c>
      <c r="T183" t="s">
        <v>41</v>
      </c>
      <c r="U183" t="s">
        <v>445</v>
      </c>
      <c r="V183" t="s">
        <v>607</v>
      </c>
    </row>
    <row r="184" spans="1:22">
      <c r="A184">
        <v>19</v>
      </c>
      <c r="B184" s="111">
        <v>46021</v>
      </c>
      <c r="C184" s="453">
        <v>46021.625</v>
      </c>
      <c r="D184" s="453">
        <v>46021.833333333336</v>
      </c>
      <c r="E184" s="453">
        <v>46021.958333333336</v>
      </c>
      <c r="F184" s="453">
        <v>46022</v>
      </c>
      <c r="G184" s="453">
        <v>46022.166666666664</v>
      </c>
      <c r="H184" t="s">
        <v>483</v>
      </c>
      <c r="I184" t="s">
        <v>451</v>
      </c>
      <c r="J184" t="s">
        <v>5</v>
      </c>
      <c r="M184" t="s">
        <v>12</v>
      </c>
      <c r="N184">
        <v>0</v>
      </c>
      <c r="O184">
        <v>0</v>
      </c>
      <c r="P184">
        <v>0</v>
      </c>
      <c r="Q184">
        <v>0</v>
      </c>
      <c r="R184">
        <v>0</v>
      </c>
      <c r="S184" s="453">
        <v>45827.020138888889</v>
      </c>
      <c r="T184" t="s">
        <v>41</v>
      </c>
      <c r="U184" t="s">
        <v>445</v>
      </c>
      <c r="V184" t="s">
        <v>607</v>
      </c>
    </row>
    <row r="185" spans="1:22">
      <c r="A185">
        <v>19</v>
      </c>
      <c r="B185" s="111">
        <v>46021</v>
      </c>
      <c r="C185" s="453">
        <v>46021.625</v>
      </c>
      <c r="D185" s="453">
        <v>46021.833333333336</v>
      </c>
      <c r="E185" s="453">
        <v>46021.958333333336</v>
      </c>
      <c r="F185" s="453">
        <v>46022</v>
      </c>
      <c r="G185" s="453">
        <v>46022.166666666664</v>
      </c>
      <c r="H185" t="s">
        <v>334</v>
      </c>
      <c r="I185" t="s">
        <v>51</v>
      </c>
      <c r="J185" t="s">
        <v>6</v>
      </c>
      <c r="M185" t="s">
        <v>3</v>
      </c>
      <c r="N185">
        <v>0</v>
      </c>
      <c r="O185">
        <v>0</v>
      </c>
      <c r="P185">
        <v>0</v>
      </c>
      <c r="Q185">
        <v>0</v>
      </c>
      <c r="R185">
        <v>0</v>
      </c>
      <c r="S185" s="453">
        <v>45827.020138888889</v>
      </c>
      <c r="T185" t="s">
        <v>41</v>
      </c>
      <c r="U185" t="s">
        <v>445</v>
      </c>
      <c r="V185" t="s">
        <v>607</v>
      </c>
    </row>
    <row r="186" spans="1:22">
      <c r="A186">
        <v>19</v>
      </c>
      <c r="B186" s="111">
        <v>46021</v>
      </c>
      <c r="C186" s="453">
        <v>46021.625</v>
      </c>
      <c r="D186" s="453">
        <v>46021.833333333336</v>
      </c>
      <c r="E186" s="453">
        <v>46021.958333333336</v>
      </c>
      <c r="F186" s="453">
        <v>46022</v>
      </c>
      <c r="G186" s="453">
        <v>46022.166666666664</v>
      </c>
      <c r="H186" t="s">
        <v>164</v>
      </c>
      <c r="I186" t="s">
        <v>44</v>
      </c>
      <c r="J186" t="s">
        <v>7</v>
      </c>
      <c r="M186" t="s">
        <v>108</v>
      </c>
      <c r="N186">
        <v>0</v>
      </c>
      <c r="O186">
        <v>0</v>
      </c>
      <c r="P186">
        <v>0</v>
      </c>
      <c r="Q186">
        <v>0</v>
      </c>
      <c r="R186">
        <v>0</v>
      </c>
      <c r="S186" s="453">
        <v>45827.020138888889</v>
      </c>
      <c r="T186" t="s">
        <v>41</v>
      </c>
      <c r="U186" t="s">
        <v>445</v>
      </c>
      <c r="V186" t="s">
        <v>607</v>
      </c>
    </row>
    <row r="187" spans="1:22">
      <c r="A187">
        <v>19</v>
      </c>
      <c r="B187" s="111">
        <v>46021</v>
      </c>
      <c r="C187" s="453">
        <v>46021.625</v>
      </c>
      <c r="D187" s="453">
        <v>46021.833333333336</v>
      </c>
      <c r="E187" s="453">
        <v>46021.958333333336</v>
      </c>
      <c r="F187" s="453">
        <v>46022</v>
      </c>
      <c r="G187" s="453">
        <v>46022.166666666664</v>
      </c>
      <c r="H187" t="s">
        <v>532</v>
      </c>
      <c r="I187" t="s">
        <v>40</v>
      </c>
      <c r="J187" t="s">
        <v>9</v>
      </c>
      <c r="M187" t="s">
        <v>444</v>
      </c>
      <c r="N187">
        <v>0</v>
      </c>
      <c r="O187">
        <v>0</v>
      </c>
      <c r="P187">
        <v>0</v>
      </c>
      <c r="Q187">
        <v>0</v>
      </c>
      <c r="R187">
        <v>0</v>
      </c>
      <c r="S187" s="453">
        <v>45827.020138888889</v>
      </c>
      <c r="T187" t="s">
        <v>41</v>
      </c>
      <c r="U187" t="s">
        <v>445</v>
      </c>
      <c r="V187" t="s">
        <v>607</v>
      </c>
    </row>
    <row r="188" spans="1:22">
      <c r="A188">
        <v>19</v>
      </c>
      <c r="B188" s="111">
        <v>46021</v>
      </c>
      <c r="C188" s="453">
        <v>46021.625</v>
      </c>
      <c r="D188" s="453">
        <v>46021.833333333336</v>
      </c>
      <c r="E188" s="453">
        <v>46021.958333333336</v>
      </c>
      <c r="F188" s="453">
        <v>46022</v>
      </c>
      <c r="G188" s="453">
        <v>46022.166666666664</v>
      </c>
      <c r="H188" t="s">
        <v>404</v>
      </c>
      <c r="I188" t="s">
        <v>47</v>
      </c>
      <c r="J188" t="s">
        <v>11</v>
      </c>
      <c r="M188" t="s">
        <v>15</v>
      </c>
      <c r="N188">
        <v>0</v>
      </c>
      <c r="O188">
        <v>0</v>
      </c>
      <c r="P188">
        <v>0</v>
      </c>
      <c r="Q188">
        <v>0</v>
      </c>
      <c r="R188">
        <v>0</v>
      </c>
      <c r="S188" s="453">
        <v>45827.020138888889</v>
      </c>
      <c r="T188" t="s">
        <v>41</v>
      </c>
      <c r="U188" t="s">
        <v>445</v>
      </c>
      <c r="V188" t="s">
        <v>607</v>
      </c>
    </row>
    <row r="189" spans="1:22">
      <c r="A189">
        <v>19</v>
      </c>
      <c r="B189" s="111">
        <v>46021</v>
      </c>
      <c r="C189" s="453">
        <v>46021.625</v>
      </c>
      <c r="D189" s="453">
        <v>46021.833333333336</v>
      </c>
      <c r="E189" s="453">
        <v>46021.958333333336</v>
      </c>
      <c r="F189" s="453">
        <v>46022</v>
      </c>
      <c r="G189" s="453">
        <v>46022.166666666664</v>
      </c>
      <c r="H189" t="s">
        <v>398</v>
      </c>
      <c r="I189" t="s">
        <v>158</v>
      </c>
      <c r="J189" t="s">
        <v>188</v>
      </c>
      <c r="M189" t="s">
        <v>8</v>
      </c>
      <c r="N189">
        <v>0</v>
      </c>
      <c r="O189">
        <v>0</v>
      </c>
      <c r="P189">
        <v>0</v>
      </c>
      <c r="Q189">
        <v>0</v>
      </c>
      <c r="R189">
        <v>0</v>
      </c>
      <c r="S189" s="453">
        <v>45827.020138888889</v>
      </c>
      <c r="T189" t="s">
        <v>41</v>
      </c>
      <c r="U189" t="s">
        <v>445</v>
      </c>
      <c r="V189" t="s">
        <v>607</v>
      </c>
    </row>
    <row r="190" spans="1:22">
      <c r="A190">
        <v>19</v>
      </c>
      <c r="B190" s="111">
        <v>46021</v>
      </c>
      <c r="C190" s="453">
        <v>46021.625</v>
      </c>
      <c r="D190" s="453">
        <v>46021.833333333336</v>
      </c>
      <c r="E190" s="453">
        <v>46021.958333333336</v>
      </c>
      <c r="F190" s="453">
        <v>46022</v>
      </c>
      <c r="G190" s="453">
        <v>46022.166666666664</v>
      </c>
      <c r="H190" t="s">
        <v>484</v>
      </c>
      <c r="I190" t="s">
        <v>448</v>
      </c>
      <c r="J190" t="s">
        <v>443</v>
      </c>
      <c r="M190" t="s">
        <v>10</v>
      </c>
      <c r="N190">
        <v>0</v>
      </c>
      <c r="O190">
        <v>0</v>
      </c>
      <c r="P190">
        <v>0</v>
      </c>
      <c r="Q190">
        <v>0</v>
      </c>
      <c r="R190">
        <v>0</v>
      </c>
      <c r="S190" s="453">
        <v>45827.020138888889</v>
      </c>
      <c r="T190" t="s">
        <v>41</v>
      </c>
      <c r="U190" t="s">
        <v>445</v>
      </c>
      <c r="V190" t="s">
        <v>607</v>
      </c>
    </row>
    <row r="191" spans="1:22">
      <c r="A191">
        <v>19</v>
      </c>
      <c r="B191" s="111">
        <v>46021</v>
      </c>
      <c r="C191" s="453">
        <v>46021.625</v>
      </c>
      <c r="D191" s="453">
        <v>46021.833333333336</v>
      </c>
      <c r="E191" s="453">
        <v>46021.958333333336</v>
      </c>
      <c r="F191" s="453">
        <v>46022</v>
      </c>
      <c r="G191" s="453">
        <v>46022.166666666664</v>
      </c>
      <c r="H191" t="s">
        <v>312</v>
      </c>
      <c r="I191" t="s">
        <v>42</v>
      </c>
      <c r="J191" t="s">
        <v>14</v>
      </c>
      <c r="M191" t="s">
        <v>4</v>
      </c>
      <c r="N191">
        <v>0</v>
      </c>
      <c r="O191">
        <v>0</v>
      </c>
      <c r="P191">
        <v>0</v>
      </c>
      <c r="Q191">
        <v>0</v>
      </c>
      <c r="R191">
        <v>0</v>
      </c>
      <c r="S191" s="453">
        <v>45827.020138888889</v>
      </c>
      <c r="T191" t="s">
        <v>41</v>
      </c>
      <c r="U191" t="s">
        <v>445</v>
      </c>
      <c r="V191" t="s">
        <v>607</v>
      </c>
    </row>
    <row r="192" spans="1:22">
      <c r="A192">
        <v>20</v>
      </c>
      <c r="B192" s="111">
        <v>46025</v>
      </c>
      <c r="C192" s="453">
        <v>46025.416666666664</v>
      </c>
      <c r="D192" s="453">
        <v>46025.625</v>
      </c>
      <c r="E192" s="453">
        <v>46025.75</v>
      </c>
      <c r="F192" s="453">
        <v>46025.791666666664</v>
      </c>
      <c r="G192" s="453">
        <v>46025.958333333336</v>
      </c>
      <c r="H192" t="s">
        <v>390</v>
      </c>
      <c r="I192" t="s">
        <v>49</v>
      </c>
      <c r="J192" t="s">
        <v>2</v>
      </c>
      <c r="M192" t="s">
        <v>188</v>
      </c>
      <c r="N192">
        <v>0</v>
      </c>
      <c r="O192">
        <v>0</v>
      </c>
      <c r="P192">
        <v>0</v>
      </c>
      <c r="Q192">
        <v>0</v>
      </c>
      <c r="R192">
        <v>0</v>
      </c>
      <c r="S192" s="453">
        <v>45827.020138888889</v>
      </c>
      <c r="T192" t="s">
        <v>41</v>
      </c>
      <c r="U192" t="s">
        <v>445</v>
      </c>
      <c r="V192" t="s">
        <v>607</v>
      </c>
    </row>
    <row r="193" spans="1:22">
      <c r="A193">
        <v>20</v>
      </c>
      <c r="B193" s="111">
        <v>46025</v>
      </c>
      <c r="C193" s="453">
        <v>46025.416666666664</v>
      </c>
      <c r="D193" s="453">
        <v>46025.625</v>
      </c>
      <c r="E193" s="453">
        <v>46025.75</v>
      </c>
      <c r="F193" s="453">
        <v>46025.791666666664</v>
      </c>
      <c r="G193" s="453">
        <v>46025.958333333336</v>
      </c>
      <c r="H193" t="s">
        <v>265</v>
      </c>
      <c r="I193" t="s">
        <v>43</v>
      </c>
      <c r="J193" t="s">
        <v>3</v>
      </c>
      <c r="M193" t="s">
        <v>1</v>
      </c>
      <c r="N193">
        <v>0</v>
      </c>
      <c r="O193">
        <v>0</v>
      </c>
      <c r="P193">
        <v>0</v>
      </c>
      <c r="Q193">
        <v>0</v>
      </c>
      <c r="R193">
        <v>0</v>
      </c>
      <c r="S193" s="453">
        <v>45827.020138888889</v>
      </c>
      <c r="T193" t="s">
        <v>41</v>
      </c>
      <c r="U193" t="s">
        <v>445</v>
      </c>
      <c r="V193" t="s">
        <v>607</v>
      </c>
    </row>
    <row r="194" spans="1:22">
      <c r="A194">
        <v>20</v>
      </c>
      <c r="B194" s="111">
        <v>46025</v>
      </c>
      <c r="C194" s="453">
        <v>46025.416666666664</v>
      </c>
      <c r="D194" s="453">
        <v>46025.625</v>
      </c>
      <c r="E194" s="453">
        <v>46025.75</v>
      </c>
      <c r="F194" s="453">
        <v>46025.791666666664</v>
      </c>
      <c r="G194" s="453">
        <v>46025.958333333336</v>
      </c>
      <c r="H194" t="s">
        <v>485</v>
      </c>
      <c r="I194" t="s">
        <v>217</v>
      </c>
      <c r="J194" t="s">
        <v>4</v>
      </c>
      <c r="M194" t="s">
        <v>5</v>
      </c>
      <c r="N194">
        <v>0</v>
      </c>
      <c r="O194">
        <v>0</v>
      </c>
      <c r="P194">
        <v>0</v>
      </c>
      <c r="Q194">
        <v>0</v>
      </c>
      <c r="R194">
        <v>0</v>
      </c>
      <c r="S194" s="453">
        <v>45827.020138888889</v>
      </c>
      <c r="T194" t="s">
        <v>41</v>
      </c>
      <c r="U194" t="s">
        <v>445</v>
      </c>
      <c r="V194" t="s">
        <v>607</v>
      </c>
    </row>
    <row r="195" spans="1:22">
      <c r="A195">
        <v>20</v>
      </c>
      <c r="B195" s="111">
        <v>46025</v>
      </c>
      <c r="C195" s="453">
        <v>46025.416666666664</v>
      </c>
      <c r="D195" s="453">
        <v>46025.625</v>
      </c>
      <c r="E195" s="453">
        <v>46025.75</v>
      </c>
      <c r="F195" s="453">
        <v>46025.791666666664</v>
      </c>
      <c r="G195" s="453">
        <v>46025.958333333336</v>
      </c>
      <c r="H195" t="s">
        <v>151</v>
      </c>
      <c r="I195" t="s">
        <v>452</v>
      </c>
      <c r="J195" t="s">
        <v>8</v>
      </c>
      <c r="M195" t="s">
        <v>107</v>
      </c>
      <c r="N195">
        <v>0</v>
      </c>
      <c r="O195">
        <v>0</v>
      </c>
      <c r="P195">
        <v>0</v>
      </c>
      <c r="Q195">
        <v>0</v>
      </c>
      <c r="R195">
        <v>0</v>
      </c>
      <c r="S195" s="453">
        <v>45827.020138888889</v>
      </c>
      <c r="T195" t="s">
        <v>41</v>
      </c>
      <c r="U195" t="s">
        <v>445</v>
      </c>
      <c r="V195" t="s">
        <v>607</v>
      </c>
    </row>
    <row r="196" spans="1:22">
      <c r="A196">
        <v>20</v>
      </c>
      <c r="B196" s="111">
        <v>46025</v>
      </c>
      <c r="C196" s="453">
        <v>46025.416666666664</v>
      </c>
      <c r="D196" s="453">
        <v>46025.625</v>
      </c>
      <c r="E196" s="453">
        <v>46025.75</v>
      </c>
      <c r="F196" s="453">
        <v>46025.791666666664</v>
      </c>
      <c r="G196" s="453">
        <v>46025.958333333336</v>
      </c>
      <c r="H196" t="s">
        <v>156</v>
      </c>
      <c r="I196" t="s">
        <v>157</v>
      </c>
      <c r="J196" t="s">
        <v>108</v>
      </c>
      <c r="M196" t="s">
        <v>9</v>
      </c>
      <c r="N196">
        <v>0</v>
      </c>
      <c r="O196">
        <v>0</v>
      </c>
      <c r="P196">
        <v>0</v>
      </c>
      <c r="Q196">
        <v>0</v>
      </c>
      <c r="R196">
        <v>0</v>
      </c>
      <c r="S196" s="453">
        <v>45827.020138888889</v>
      </c>
      <c r="T196" t="s">
        <v>41</v>
      </c>
      <c r="U196" t="s">
        <v>445</v>
      </c>
      <c r="V196" t="s">
        <v>607</v>
      </c>
    </row>
    <row r="197" spans="1:22">
      <c r="A197">
        <v>20</v>
      </c>
      <c r="B197" s="111">
        <v>46025</v>
      </c>
      <c r="C197" s="453">
        <v>46025.416666666664</v>
      </c>
      <c r="D197" s="453">
        <v>46025.625</v>
      </c>
      <c r="E197" s="453">
        <v>46025.75</v>
      </c>
      <c r="F197" s="453">
        <v>46025.791666666664</v>
      </c>
      <c r="G197" s="453">
        <v>46025.958333333336</v>
      </c>
      <c r="H197" t="s">
        <v>533</v>
      </c>
      <c r="I197" t="s">
        <v>449</v>
      </c>
      <c r="J197" t="s">
        <v>444</v>
      </c>
      <c r="M197" t="s">
        <v>11</v>
      </c>
      <c r="N197">
        <v>0</v>
      </c>
      <c r="O197">
        <v>0</v>
      </c>
      <c r="P197">
        <v>0</v>
      </c>
      <c r="Q197">
        <v>0</v>
      </c>
      <c r="R197">
        <v>0</v>
      </c>
      <c r="S197" s="453">
        <v>45827.020138888889</v>
      </c>
      <c r="T197" t="s">
        <v>41</v>
      </c>
      <c r="U197" t="s">
        <v>445</v>
      </c>
      <c r="V197" t="s">
        <v>607</v>
      </c>
    </row>
    <row r="198" spans="1:22">
      <c r="A198">
        <v>20</v>
      </c>
      <c r="B198" s="111">
        <v>46025</v>
      </c>
      <c r="C198" s="453">
        <v>46025.416666666664</v>
      </c>
      <c r="D198" s="453">
        <v>46025.625</v>
      </c>
      <c r="E198" s="453">
        <v>46025.75</v>
      </c>
      <c r="F198" s="453">
        <v>46025.791666666664</v>
      </c>
      <c r="G198" s="453">
        <v>46025.958333333336</v>
      </c>
      <c r="H198" t="s">
        <v>347</v>
      </c>
      <c r="I198" t="s">
        <v>50</v>
      </c>
      <c r="J198" t="s">
        <v>10</v>
      </c>
      <c r="M198" t="s">
        <v>6</v>
      </c>
      <c r="N198">
        <v>0</v>
      </c>
      <c r="O198">
        <v>0</v>
      </c>
      <c r="P198">
        <v>0</v>
      </c>
      <c r="Q198">
        <v>0</v>
      </c>
      <c r="R198">
        <v>0</v>
      </c>
      <c r="S198" s="453">
        <v>45827.020138888889</v>
      </c>
      <c r="T198" t="s">
        <v>41</v>
      </c>
      <c r="U198" t="s">
        <v>445</v>
      </c>
      <c r="V198" t="s">
        <v>607</v>
      </c>
    </row>
    <row r="199" spans="1:22">
      <c r="A199">
        <v>20</v>
      </c>
      <c r="B199" s="111">
        <v>46025</v>
      </c>
      <c r="C199" s="453">
        <v>46025.416666666664</v>
      </c>
      <c r="D199" s="453">
        <v>46025.625</v>
      </c>
      <c r="E199" s="453">
        <v>46025.75</v>
      </c>
      <c r="F199" s="453">
        <v>46025.791666666664</v>
      </c>
      <c r="G199" s="453">
        <v>46025.958333333336</v>
      </c>
      <c r="H199" t="s">
        <v>384</v>
      </c>
      <c r="I199" t="s">
        <v>46</v>
      </c>
      <c r="J199" t="s">
        <v>12</v>
      </c>
      <c r="M199" t="s">
        <v>7</v>
      </c>
      <c r="N199">
        <v>0</v>
      </c>
      <c r="O199">
        <v>0</v>
      </c>
      <c r="P199">
        <v>0</v>
      </c>
      <c r="Q199">
        <v>0</v>
      </c>
      <c r="R199">
        <v>0</v>
      </c>
      <c r="S199" s="453">
        <v>45827.020138888889</v>
      </c>
      <c r="T199" t="s">
        <v>41</v>
      </c>
      <c r="U199" t="s">
        <v>445</v>
      </c>
      <c r="V199" t="s">
        <v>607</v>
      </c>
    </row>
    <row r="200" spans="1:22">
      <c r="A200">
        <v>20</v>
      </c>
      <c r="B200" s="111">
        <v>46025</v>
      </c>
      <c r="C200" s="453">
        <v>46025.416666666664</v>
      </c>
      <c r="D200" s="453">
        <v>46025.625</v>
      </c>
      <c r="E200" s="453">
        <v>46025.75</v>
      </c>
      <c r="F200" s="453">
        <v>46025.791666666664</v>
      </c>
      <c r="G200" s="453">
        <v>46025.958333333336</v>
      </c>
      <c r="H200" t="s">
        <v>486</v>
      </c>
      <c r="I200" t="s">
        <v>45</v>
      </c>
      <c r="J200" t="s">
        <v>13</v>
      </c>
      <c r="M200" t="s">
        <v>443</v>
      </c>
      <c r="N200">
        <v>0</v>
      </c>
      <c r="O200">
        <v>0</v>
      </c>
      <c r="P200">
        <v>0</v>
      </c>
      <c r="Q200">
        <v>0</v>
      </c>
      <c r="R200">
        <v>0</v>
      </c>
      <c r="S200" s="453">
        <v>45827.020138888889</v>
      </c>
      <c r="T200" t="s">
        <v>41</v>
      </c>
      <c r="U200" t="s">
        <v>445</v>
      </c>
      <c r="V200" t="s">
        <v>607</v>
      </c>
    </row>
    <row r="201" spans="1:22">
      <c r="A201">
        <v>20</v>
      </c>
      <c r="B201" s="111">
        <v>46025</v>
      </c>
      <c r="C201" s="453">
        <v>46025.416666666664</v>
      </c>
      <c r="D201" s="453">
        <v>46025.625</v>
      </c>
      <c r="E201" s="453">
        <v>46025.75</v>
      </c>
      <c r="F201" s="453">
        <v>46025.791666666664</v>
      </c>
      <c r="G201" s="453">
        <v>46025.958333333336</v>
      </c>
      <c r="H201" t="s">
        <v>387</v>
      </c>
      <c r="I201" t="s">
        <v>52</v>
      </c>
      <c r="J201" t="s">
        <v>15</v>
      </c>
      <c r="M201" t="s">
        <v>14</v>
      </c>
      <c r="N201">
        <v>0</v>
      </c>
      <c r="O201">
        <v>0</v>
      </c>
      <c r="P201">
        <v>0</v>
      </c>
      <c r="Q201">
        <v>0</v>
      </c>
      <c r="R201">
        <v>0</v>
      </c>
      <c r="S201" s="453">
        <v>45827.020138888889</v>
      </c>
      <c r="T201" t="s">
        <v>41</v>
      </c>
      <c r="U201" t="s">
        <v>445</v>
      </c>
      <c r="V201" t="s">
        <v>607</v>
      </c>
    </row>
    <row r="202" spans="1:22">
      <c r="A202">
        <v>21</v>
      </c>
      <c r="B202" s="111">
        <v>46029</v>
      </c>
      <c r="C202" s="453">
        <v>46029.625</v>
      </c>
      <c r="D202" s="453">
        <v>46029.833333333336</v>
      </c>
      <c r="E202" s="453">
        <v>46029.958333333336</v>
      </c>
      <c r="F202" s="453">
        <v>46030</v>
      </c>
      <c r="G202" s="453">
        <v>46030.166666666664</v>
      </c>
      <c r="H202" t="s">
        <v>142</v>
      </c>
      <c r="I202" t="s">
        <v>48</v>
      </c>
      <c r="J202" t="s">
        <v>1</v>
      </c>
      <c r="M202" t="s">
        <v>9</v>
      </c>
      <c r="N202">
        <v>0</v>
      </c>
      <c r="O202">
        <v>0</v>
      </c>
      <c r="P202">
        <v>0</v>
      </c>
      <c r="Q202">
        <v>0</v>
      </c>
      <c r="R202">
        <v>0</v>
      </c>
      <c r="S202" s="453">
        <v>45827.3125</v>
      </c>
      <c r="T202" t="s">
        <v>41</v>
      </c>
      <c r="U202" t="s">
        <v>445</v>
      </c>
      <c r="V202" t="s">
        <v>607</v>
      </c>
    </row>
    <row r="203" spans="1:22">
      <c r="A203">
        <v>21</v>
      </c>
      <c r="B203" s="111">
        <v>46029</v>
      </c>
      <c r="C203" s="453">
        <v>46029.625</v>
      </c>
      <c r="D203" s="453">
        <v>46029.833333333336</v>
      </c>
      <c r="E203" s="453">
        <v>46029.958333333336</v>
      </c>
      <c r="F203" s="453">
        <v>46030</v>
      </c>
      <c r="G203" s="453">
        <v>46030.166666666664</v>
      </c>
      <c r="H203" t="s">
        <v>300</v>
      </c>
      <c r="I203" t="s">
        <v>43</v>
      </c>
      <c r="J203" t="s">
        <v>3</v>
      </c>
      <c r="M203" t="s">
        <v>13</v>
      </c>
      <c r="N203">
        <v>0</v>
      </c>
      <c r="O203">
        <v>0</v>
      </c>
      <c r="P203">
        <v>0</v>
      </c>
      <c r="Q203">
        <v>0</v>
      </c>
      <c r="R203">
        <v>0</v>
      </c>
      <c r="S203" s="453">
        <v>45827.3125</v>
      </c>
      <c r="T203" t="s">
        <v>41</v>
      </c>
      <c r="U203" t="s">
        <v>445</v>
      </c>
      <c r="V203" t="s">
        <v>607</v>
      </c>
    </row>
    <row r="204" spans="1:22">
      <c r="A204">
        <v>21</v>
      </c>
      <c r="B204" s="111">
        <v>46029</v>
      </c>
      <c r="C204" s="453">
        <v>46029.625</v>
      </c>
      <c r="D204" s="453">
        <v>46029.833333333336</v>
      </c>
      <c r="E204" s="453">
        <v>46029.958333333336</v>
      </c>
      <c r="F204" s="453">
        <v>46030</v>
      </c>
      <c r="G204" s="453">
        <v>46030.166666666664</v>
      </c>
      <c r="H204" t="s">
        <v>549</v>
      </c>
      <c r="I204" t="s">
        <v>172</v>
      </c>
      <c r="J204" t="s">
        <v>107</v>
      </c>
      <c r="M204" t="s">
        <v>443</v>
      </c>
      <c r="N204">
        <v>0</v>
      </c>
      <c r="O204">
        <v>0</v>
      </c>
      <c r="P204">
        <v>0</v>
      </c>
      <c r="Q204">
        <v>0</v>
      </c>
      <c r="R204">
        <v>0</v>
      </c>
      <c r="S204" s="453">
        <v>45827.3125</v>
      </c>
      <c r="T204" t="s">
        <v>41</v>
      </c>
      <c r="U204" t="s">
        <v>445</v>
      </c>
      <c r="V204" t="s">
        <v>607</v>
      </c>
    </row>
    <row r="205" spans="1:22">
      <c r="A205">
        <v>21</v>
      </c>
      <c r="B205" s="111">
        <v>46029</v>
      </c>
      <c r="C205" s="453">
        <v>46029.625</v>
      </c>
      <c r="D205" s="453">
        <v>46029.833333333336</v>
      </c>
      <c r="E205" s="453">
        <v>46029.958333333336</v>
      </c>
      <c r="F205" s="453">
        <v>46030</v>
      </c>
      <c r="G205" s="453">
        <v>46030.166666666664</v>
      </c>
      <c r="H205" t="s">
        <v>550</v>
      </c>
      <c r="I205" t="s">
        <v>451</v>
      </c>
      <c r="J205" t="s">
        <v>5</v>
      </c>
      <c r="M205" t="s">
        <v>11</v>
      </c>
      <c r="N205">
        <v>0</v>
      </c>
      <c r="O205">
        <v>0</v>
      </c>
      <c r="P205">
        <v>0</v>
      </c>
      <c r="Q205">
        <v>0</v>
      </c>
      <c r="R205">
        <v>0</v>
      </c>
      <c r="S205" s="453">
        <v>45827.3125</v>
      </c>
      <c r="T205" t="s">
        <v>41</v>
      </c>
      <c r="U205" t="s">
        <v>445</v>
      </c>
      <c r="V205" t="s">
        <v>607</v>
      </c>
    </row>
    <row r="206" spans="1:22">
      <c r="A206">
        <v>21</v>
      </c>
      <c r="B206" s="111">
        <v>46029</v>
      </c>
      <c r="C206" s="453">
        <v>46029.625</v>
      </c>
      <c r="D206" s="453">
        <v>46029.833333333336</v>
      </c>
      <c r="E206" s="453">
        <v>46029.958333333336</v>
      </c>
      <c r="F206" s="453">
        <v>46030</v>
      </c>
      <c r="G206" s="453">
        <v>46030.166666666664</v>
      </c>
      <c r="H206" t="s">
        <v>126</v>
      </c>
      <c r="I206" t="s">
        <v>44</v>
      </c>
      <c r="J206" t="s">
        <v>7</v>
      </c>
      <c r="M206" t="s">
        <v>2</v>
      </c>
      <c r="N206">
        <v>0</v>
      </c>
      <c r="O206">
        <v>0</v>
      </c>
      <c r="P206">
        <v>0</v>
      </c>
      <c r="Q206">
        <v>0</v>
      </c>
      <c r="R206">
        <v>0</v>
      </c>
      <c r="S206" s="453">
        <v>45827.3125</v>
      </c>
      <c r="T206" t="s">
        <v>41</v>
      </c>
      <c r="U206" t="s">
        <v>445</v>
      </c>
      <c r="V206" t="s">
        <v>607</v>
      </c>
    </row>
    <row r="207" spans="1:22">
      <c r="A207">
        <v>21</v>
      </c>
      <c r="B207" s="111">
        <v>46029</v>
      </c>
      <c r="C207" s="453">
        <v>46029.625</v>
      </c>
      <c r="D207" s="453">
        <v>46029.833333333336</v>
      </c>
      <c r="E207" s="453">
        <v>46029.958333333336</v>
      </c>
      <c r="F207" s="453">
        <v>46030</v>
      </c>
      <c r="G207" s="453">
        <v>46030.166666666664</v>
      </c>
      <c r="H207" t="s">
        <v>295</v>
      </c>
      <c r="I207" t="s">
        <v>452</v>
      </c>
      <c r="J207" t="s">
        <v>8</v>
      </c>
      <c r="M207" t="s">
        <v>15</v>
      </c>
      <c r="N207">
        <v>0</v>
      </c>
      <c r="O207">
        <v>0</v>
      </c>
      <c r="P207">
        <v>0</v>
      </c>
      <c r="Q207">
        <v>0</v>
      </c>
      <c r="R207">
        <v>0</v>
      </c>
      <c r="S207" s="453">
        <v>45827.313194444447</v>
      </c>
      <c r="T207" t="s">
        <v>41</v>
      </c>
      <c r="U207" t="s">
        <v>445</v>
      </c>
      <c r="V207" t="s">
        <v>607</v>
      </c>
    </row>
    <row r="208" spans="1:22">
      <c r="A208">
        <v>21</v>
      </c>
      <c r="B208" s="111">
        <v>46029</v>
      </c>
      <c r="C208" s="453">
        <v>46029.625</v>
      </c>
      <c r="D208" s="453">
        <v>46029.833333333336</v>
      </c>
      <c r="E208" s="453">
        <v>46029.958333333336</v>
      </c>
      <c r="F208" s="453">
        <v>46030</v>
      </c>
      <c r="G208" s="453">
        <v>46030.166666666664</v>
      </c>
      <c r="H208" t="s">
        <v>161</v>
      </c>
      <c r="I208" t="s">
        <v>157</v>
      </c>
      <c r="J208" t="s">
        <v>108</v>
      </c>
      <c r="M208" t="s">
        <v>6</v>
      </c>
      <c r="N208">
        <v>0</v>
      </c>
      <c r="O208">
        <v>0</v>
      </c>
      <c r="P208">
        <v>0</v>
      </c>
      <c r="Q208">
        <v>0</v>
      </c>
      <c r="R208">
        <v>0</v>
      </c>
      <c r="S208" s="453">
        <v>45827.313194444447</v>
      </c>
      <c r="T208" t="s">
        <v>41</v>
      </c>
      <c r="U208" t="s">
        <v>445</v>
      </c>
      <c r="V208" t="s">
        <v>607</v>
      </c>
    </row>
    <row r="209" spans="1:22">
      <c r="A209">
        <v>21</v>
      </c>
      <c r="B209" s="111">
        <v>46029</v>
      </c>
      <c r="C209" s="453">
        <v>46029.625</v>
      </c>
      <c r="D209" s="453">
        <v>46029.833333333336</v>
      </c>
      <c r="E209" s="453">
        <v>46029.958333333336</v>
      </c>
      <c r="F209" s="453">
        <v>46030</v>
      </c>
      <c r="G209" s="453">
        <v>46030.166666666664</v>
      </c>
      <c r="H209" t="s">
        <v>383</v>
      </c>
      <c r="I209" t="s">
        <v>50</v>
      </c>
      <c r="J209" t="s">
        <v>10</v>
      </c>
      <c r="M209" t="s">
        <v>4</v>
      </c>
      <c r="N209">
        <v>0</v>
      </c>
      <c r="O209">
        <v>0</v>
      </c>
      <c r="P209">
        <v>0</v>
      </c>
      <c r="Q209">
        <v>0</v>
      </c>
      <c r="R209">
        <v>0</v>
      </c>
      <c r="S209" s="453">
        <v>45827.313194444447</v>
      </c>
      <c r="T209" t="s">
        <v>41</v>
      </c>
      <c r="U209" t="s">
        <v>445</v>
      </c>
      <c r="V209" t="s">
        <v>607</v>
      </c>
    </row>
    <row r="210" spans="1:22">
      <c r="A210">
        <v>21</v>
      </c>
      <c r="B210" s="111">
        <v>46029</v>
      </c>
      <c r="C210" s="453">
        <v>46029.625</v>
      </c>
      <c r="D210" s="453">
        <v>46029.833333333336</v>
      </c>
      <c r="E210" s="453">
        <v>46029.958333333336</v>
      </c>
      <c r="F210" s="453">
        <v>46030</v>
      </c>
      <c r="G210" s="453">
        <v>46030.166666666664</v>
      </c>
      <c r="H210" t="s">
        <v>551</v>
      </c>
      <c r="I210" t="s">
        <v>46</v>
      </c>
      <c r="J210" t="s">
        <v>12</v>
      </c>
      <c r="M210" t="s">
        <v>444</v>
      </c>
      <c r="N210">
        <v>0</v>
      </c>
      <c r="O210">
        <v>0</v>
      </c>
      <c r="P210">
        <v>0</v>
      </c>
      <c r="Q210">
        <v>0</v>
      </c>
      <c r="R210">
        <v>0</v>
      </c>
      <c r="S210" s="453">
        <v>45827.313194444447</v>
      </c>
      <c r="T210" t="s">
        <v>41</v>
      </c>
      <c r="U210" t="s">
        <v>445</v>
      </c>
      <c r="V210" t="s">
        <v>607</v>
      </c>
    </row>
    <row r="211" spans="1:22">
      <c r="A211">
        <v>21</v>
      </c>
      <c r="B211" s="111">
        <v>46029</v>
      </c>
      <c r="C211" s="453">
        <v>46029.625</v>
      </c>
      <c r="D211" s="453">
        <v>46029.833333333336</v>
      </c>
      <c r="E211" s="453">
        <v>46029.958333333336</v>
      </c>
      <c r="F211" s="453">
        <v>46030</v>
      </c>
      <c r="G211" s="453">
        <v>46030.166666666664</v>
      </c>
      <c r="H211" t="s">
        <v>428</v>
      </c>
      <c r="I211" t="s">
        <v>42</v>
      </c>
      <c r="J211" t="s">
        <v>14</v>
      </c>
      <c r="M211" t="s">
        <v>188</v>
      </c>
      <c r="N211">
        <v>0</v>
      </c>
      <c r="O211">
        <v>0</v>
      </c>
      <c r="P211">
        <v>0</v>
      </c>
      <c r="Q211">
        <v>0</v>
      </c>
      <c r="R211">
        <v>0</v>
      </c>
      <c r="S211" s="453">
        <v>45827.313194444447</v>
      </c>
      <c r="T211" t="s">
        <v>41</v>
      </c>
      <c r="U211" t="s">
        <v>445</v>
      </c>
      <c r="V211" t="s">
        <v>607</v>
      </c>
    </row>
    <row r="212" spans="1:22">
      <c r="A212">
        <v>22</v>
      </c>
      <c r="B212" s="111">
        <v>46039</v>
      </c>
      <c r="C212" s="453">
        <v>46039.416666666664</v>
      </c>
      <c r="D212" s="453">
        <v>46039.625</v>
      </c>
      <c r="E212" s="453">
        <v>46039.75</v>
      </c>
      <c r="F212" s="453">
        <v>46039.791666666664</v>
      </c>
      <c r="G212" s="453">
        <v>46039.958333333336</v>
      </c>
      <c r="H212" t="s">
        <v>118</v>
      </c>
      <c r="I212" t="s">
        <v>49</v>
      </c>
      <c r="J212" t="s">
        <v>2</v>
      </c>
      <c r="M212" t="s">
        <v>8</v>
      </c>
      <c r="N212">
        <v>0</v>
      </c>
      <c r="O212">
        <v>0</v>
      </c>
      <c r="P212">
        <v>0</v>
      </c>
      <c r="Q212">
        <v>0</v>
      </c>
      <c r="R212">
        <v>0</v>
      </c>
      <c r="S212" s="453">
        <v>45827.020138888889</v>
      </c>
      <c r="T212" t="s">
        <v>41</v>
      </c>
      <c r="U212" t="s">
        <v>445</v>
      </c>
      <c r="V212" t="s">
        <v>607</v>
      </c>
    </row>
    <row r="213" spans="1:22">
      <c r="A213">
        <v>22</v>
      </c>
      <c r="B213" s="111">
        <v>46039</v>
      </c>
      <c r="C213" s="453">
        <v>46039.416666666664</v>
      </c>
      <c r="D213" s="453">
        <v>46039.625</v>
      </c>
      <c r="E213" s="453">
        <v>46039.75</v>
      </c>
      <c r="F213" s="453">
        <v>46039.791666666664</v>
      </c>
      <c r="G213" s="453">
        <v>46039.958333333336</v>
      </c>
      <c r="H213" t="s">
        <v>369</v>
      </c>
      <c r="I213" t="s">
        <v>217</v>
      </c>
      <c r="J213" t="s">
        <v>4</v>
      </c>
      <c r="M213" t="s">
        <v>3</v>
      </c>
      <c r="N213">
        <v>0</v>
      </c>
      <c r="O213">
        <v>0</v>
      </c>
      <c r="P213">
        <v>0</v>
      </c>
      <c r="Q213">
        <v>0</v>
      </c>
      <c r="R213">
        <v>0</v>
      </c>
      <c r="S213" s="453">
        <v>45827.020138888889</v>
      </c>
      <c r="T213" t="s">
        <v>41</v>
      </c>
      <c r="U213" t="s">
        <v>445</v>
      </c>
      <c r="V213" t="s">
        <v>607</v>
      </c>
    </row>
    <row r="214" spans="1:22">
      <c r="A214">
        <v>22</v>
      </c>
      <c r="B214" s="111">
        <v>46039</v>
      </c>
      <c r="C214" s="453">
        <v>46039.416666666664</v>
      </c>
      <c r="D214" s="453">
        <v>46039.625</v>
      </c>
      <c r="E214" s="453">
        <v>46039.75</v>
      </c>
      <c r="F214" s="453">
        <v>46039.791666666664</v>
      </c>
      <c r="G214" s="453">
        <v>46039.958333333336</v>
      </c>
      <c r="H214" t="s">
        <v>144</v>
      </c>
      <c r="I214" t="s">
        <v>51</v>
      </c>
      <c r="J214" t="s">
        <v>6</v>
      </c>
      <c r="M214" t="s">
        <v>107</v>
      </c>
      <c r="N214">
        <v>0</v>
      </c>
      <c r="O214">
        <v>0</v>
      </c>
      <c r="P214">
        <v>0</v>
      </c>
      <c r="Q214">
        <v>0</v>
      </c>
      <c r="R214">
        <v>0</v>
      </c>
      <c r="S214" s="453">
        <v>45827.020138888889</v>
      </c>
      <c r="T214" t="s">
        <v>41</v>
      </c>
      <c r="U214" t="s">
        <v>445</v>
      </c>
      <c r="V214" t="s">
        <v>607</v>
      </c>
    </row>
    <row r="215" spans="1:22">
      <c r="A215">
        <v>22</v>
      </c>
      <c r="B215" s="111">
        <v>46039</v>
      </c>
      <c r="C215" s="453">
        <v>46039.416666666664</v>
      </c>
      <c r="D215" s="453">
        <v>46039.625</v>
      </c>
      <c r="E215" s="453">
        <v>46039.75</v>
      </c>
      <c r="F215" s="453">
        <v>46039.791666666664</v>
      </c>
      <c r="G215" s="453">
        <v>46039.958333333336</v>
      </c>
      <c r="H215" t="s">
        <v>534</v>
      </c>
      <c r="I215" t="s">
        <v>449</v>
      </c>
      <c r="J215" t="s">
        <v>444</v>
      </c>
      <c r="M215" t="s">
        <v>108</v>
      </c>
      <c r="N215">
        <v>0</v>
      </c>
      <c r="O215">
        <v>0</v>
      </c>
      <c r="P215">
        <v>0</v>
      </c>
      <c r="Q215">
        <v>0</v>
      </c>
      <c r="R215">
        <v>0</v>
      </c>
      <c r="S215" s="453">
        <v>45827.020138888889</v>
      </c>
      <c r="T215" t="s">
        <v>41</v>
      </c>
      <c r="U215" t="s">
        <v>445</v>
      </c>
      <c r="V215" t="s">
        <v>607</v>
      </c>
    </row>
    <row r="216" spans="1:22">
      <c r="A216">
        <v>22</v>
      </c>
      <c r="B216" s="111">
        <v>46039</v>
      </c>
      <c r="C216" s="453">
        <v>46039.416666666664</v>
      </c>
      <c r="D216" s="453">
        <v>46039.625</v>
      </c>
      <c r="E216" s="453">
        <v>46039.75</v>
      </c>
      <c r="F216" s="453">
        <v>46039.791666666664</v>
      </c>
      <c r="G216" s="453">
        <v>46039.958333333336</v>
      </c>
      <c r="H216" t="s">
        <v>487</v>
      </c>
      <c r="I216" t="s">
        <v>40</v>
      </c>
      <c r="J216" t="s">
        <v>9</v>
      </c>
      <c r="M216" t="s">
        <v>5</v>
      </c>
      <c r="N216">
        <v>0</v>
      </c>
      <c r="O216">
        <v>0</v>
      </c>
      <c r="P216">
        <v>0</v>
      </c>
      <c r="Q216">
        <v>0</v>
      </c>
      <c r="R216">
        <v>0</v>
      </c>
      <c r="S216" s="453">
        <v>45827.020138888889</v>
      </c>
      <c r="T216" t="s">
        <v>41</v>
      </c>
      <c r="U216" t="s">
        <v>445</v>
      </c>
      <c r="V216" t="s">
        <v>607</v>
      </c>
    </row>
    <row r="217" spans="1:22">
      <c r="A217">
        <v>22</v>
      </c>
      <c r="B217" s="111">
        <v>46039</v>
      </c>
      <c r="C217" s="453">
        <v>46039.416666666664</v>
      </c>
      <c r="D217" s="453">
        <v>46039.625</v>
      </c>
      <c r="E217" s="453">
        <v>46039.75</v>
      </c>
      <c r="F217" s="453">
        <v>46039.791666666664</v>
      </c>
      <c r="G217" s="453">
        <v>46039.958333333336</v>
      </c>
      <c r="H217" t="s">
        <v>392</v>
      </c>
      <c r="I217" t="s">
        <v>47</v>
      </c>
      <c r="J217" t="s">
        <v>11</v>
      </c>
      <c r="M217" t="s">
        <v>10</v>
      </c>
      <c r="N217">
        <v>0</v>
      </c>
      <c r="O217">
        <v>0</v>
      </c>
      <c r="P217">
        <v>0</v>
      </c>
      <c r="Q217">
        <v>0</v>
      </c>
      <c r="R217">
        <v>0</v>
      </c>
      <c r="S217" s="453">
        <v>45827.020138888889</v>
      </c>
      <c r="T217" t="s">
        <v>41</v>
      </c>
      <c r="U217" t="s">
        <v>445</v>
      </c>
      <c r="V217" t="s">
        <v>607</v>
      </c>
    </row>
    <row r="218" spans="1:22">
      <c r="A218">
        <v>22</v>
      </c>
      <c r="B218" s="111">
        <v>46039</v>
      </c>
      <c r="C218" s="453">
        <v>46039.416666666664</v>
      </c>
      <c r="D218" s="453">
        <v>46039.625</v>
      </c>
      <c r="E218" s="453">
        <v>46039.75</v>
      </c>
      <c r="F218" s="453">
        <v>46039.791666666664</v>
      </c>
      <c r="G218" s="453">
        <v>46039.958333333336</v>
      </c>
      <c r="H218" t="s">
        <v>370</v>
      </c>
      <c r="I218" t="s">
        <v>158</v>
      </c>
      <c r="J218" t="s">
        <v>188</v>
      </c>
      <c r="M218" t="s">
        <v>1</v>
      </c>
      <c r="N218">
        <v>0</v>
      </c>
      <c r="O218">
        <v>0</v>
      </c>
      <c r="P218">
        <v>0</v>
      </c>
      <c r="Q218">
        <v>0</v>
      </c>
      <c r="R218">
        <v>0</v>
      </c>
      <c r="S218" s="453">
        <v>45827.020138888889</v>
      </c>
      <c r="T218" t="s">
        <v>41</v>
      </c>
      <c r="U218" t="s">
        <v>445</v>
      </c>
      <c r="V218" t="s">
        <v>607</v>
      </c>
    </row>
    <row r="219" spans="1:22">
      <c r="A219">
        <v>22</v>
      </c>
      <c r="B219" s="111">
        <v>46039</v>
      </c>
      <c r="C219" s="453">
        <v>46039.416666666664</v>
      </c>
      <c r="D219" s="453">
        <v>46039.625</v>
      </c>
      <c r="E219" s="453">
        <v>46039.75</v>
      </c>
      <c r="F219" s="453">
        <v>46039.791666666664</v>
      </c>
      <c r="G219" s="453">
        <v>46039.958333333336</v>
      </c>
      <c r="H219" t="s">
        <v>262</v>
      </c>
      <c r="I219" t="s">
        <v>45</v>
      </c>
      <c r="J219" t="s">
        <v>13</v>
      </c>
      <c r="M219" t="s">
        <v>14</v>
      </c>
      <c r="N219">
        <v>0</v>
      </c>
      <c r="O219">
        <v>0</v>
      </c>
      <c r="P219">
        <v>0</v>
      </c>
      <c r="Q219">
        <v>0</v>
      </c>
      <c r="R219">
        <v>0</v>
      </c>
      <c r="S219" s="453">
        <v>45827.020138888889</v>
      </c>
      <c r="T219" t="s">
        <v>41</v>
      </c>
      <c r="U219" t="s">
        <v>445</v>
      </c>
      <c r="V219" t="s">
        <v>607</v>
      </c>
    </row>
    <row r="220" spans="1:22">
      <c r="A220">
        <v>22</v>
      </c>
      <c r="B220" s="111">
        <v>46039</v>
      </c>
      <c r="C220" s="453">
        <v>46039.416666666664</v>
      </c>
      <c r="D220" s="453">
        <v>46039.625</v>
      </c>
      <c r="E220" s="453">
        <v>46039.75</v>
      </c>
      <c r="F220" s="453">
        <v>46039.791666666664</v>
      </c>
      <c r="G220" s="453">
        <v>46039.958333333336</v>
      </c>
      <c r="H220" t="s">
        <v>488</v>
      </c>
      <c r="I220" t="s">
        <v>448</v>
      </c>
      <c r="J220" t="s">
        <v>443</v>
      </c>
      <c r="M220" t="s">
        <v>7</v>
      </c>
      <c r="N220">
        <v>0</v>
      </c>
      <c r="O220">
        <v>0</v>
      </c>
      <c r="P220">
        <v>0</v>
      </c>
      <c r="Q220">
        <v>0</v>
      </c>
      <c r="R220">
        <v>0</v>
      </c>
      <c r="S220" s="453">
        <v>45827.020138888889</v>
      </c>
      <c r="T220" t="s">
        <v>41</v>
      </c>
      <c r="U220" t="s">
        <v>445</v>
      </c>
      <c r="V220" t="s">
        <v>607</v>
      </c>
    </row>
    <row r="221" spans="1:22">
      <c r="A221">
        <v>22</v>
      </c>
      <c r="B221" s="111">
        <v>46039</v>
      </c>
      <c r="C221" s="453">
        <v>46039.416666666664</v>
      </c>
      <c r="D221" s="453">
        <v>46039.625</v>
      </c>
      <c r="E221" s="453">
        <v>46039.75</v>
      </c>
      <c r="F221" s="453">
        <v>46039.791666666664</v>
      </c>
      <c r="G221" s="453">
        <v>46039.958333333336</v>
      </c>
      <c r="H221" t="s">
        <v>241</v>
      </c>
      <c r="I221" t="s">
        <v>52</v>
      </c>
      <c r="J221" t="s">
        <v>15</v>
      </c>
      <c r="M221" t="s">
        <v>12</v>
      </c>
      <c r="N221">
        <v>0</v>
      </c>
      <c r="O221">
        <v>0</v>
      </c>
      <c r="P221">
        <v>0</v>
      </c>
      <c r="Q221">
        <v>0</v>
      </c>
      <c r="R221">
        <v>0</v>
      </c>
      <c r="S221" s="453">
        <v>45827.020138888889</v>
      </c>
      <c r="T221" t="s">
        <v>41</v>
      </c>
      <c r="U221" t="s">
        <v>445</v>
      </c>
      <c r="V221" t="s">
        <v>607</v>
      </c>
    </row>
    <row r="222" spans="1:22">
      <c r="A222">
        <v>23</v>
      </c>
      <c r="B222" s="111">
        <v>46046</v>
      </c>
      <c r="C222" s="453">
        <v>46046.416666666664</v>
      </c>
      <c r="D222" s="453">
        <v>46046.625</v>
      </c>
      <c r="E222" s="453">
        <v>46046.75</v>
      </c>
      <c r="F222" s="453">
        <v>46046.791666666664</v>
      </c>
      <c r="G222" s="453">
        <v>46046.958333333336</v>
      </c>
      <c r="H222" t="s">
        <v>298</v>
      </c>
      <c r="I222" t="s">
        <v>48</v>
      </c>
      <c r="J222" t="s">
        <v>1</v>
      </c>
      <c r="M222" t="s">
        <v>11</v>
      </c>
      <c r="N222">
        <v>0</v>
      </c>
      <c r="O222">
        <v>0</v>
      </c>
      <c r="P222">
        <v>0</v>
      </c>
      <c r="Q222">
        <v>0</v>
      </c>
      <c r="R222">
        <v>0</v>
      </c>
      <c r="S222" s="453">
        <v>45827.020138888889</v>
      </c>
      <c r="T222" t="s">
        <v>41</v>
      </c>
      <c r="U222" t="s">
        <v>445</v>
      </c>
      <c r="V222" t="s">
        <v>607</v>
      </c>
    </row>
    <row r="223" spans="1:22">
      <c r="A223">
        <v>23</v>
      </c>
      <c r="B223" s="111">
        <v>46046</v>
      </c>
      <c r="C223" s="453">
        <v>46046.416666666664</v>
      </c>
      <c r="D223" s="453">
        <v>46046.625</v>
      </c>
      <c r="E223" s="453">
        <v>46046.75</v>
      </c>
      <c r="F223" s="453">
        <v>46046.791666666664</v>
      </c>
      <c r="G223" s="453">
        <v>46046.958333333336</v>
      </c>
      <c r="H223" t="s">
        <v>351</v>
      </c>
      <c r="I223" t="s">
        <v>43</v>
      </c>
      <c r="J223" t="s">
        <v>3</v>
      </c>
      <c r="M223" t="s">
        <v>9</v>
      </c>
      <c r="N223">
        <v>0</v>
      </c>
      <c r="O223">
        <v>0</v>
      </c>
      <c r="P223">
        <v>0</v>
      </c>
      <c r="Q223">
        <v>0</v>
      </c>
      <c r="R223">
        <v>0</v>
      </c>
      <c r="S223" s="453">
        <v>45827.020138888889</v>
      </c>
      <c r="T223" t="s">
        <v>41</v>
      </c>
      <c r="U223" t="s">
        <v>445</v>
      </c>
      <c r="V223" t="s">
        <v>607</v>
      </c>
    </row>
    <row r="224" spans="1:22">
      <c r="A224">
        <v>23</v>
      </c>
      <c r="B224" s="111">
        <v>46046</v>
      </c>
      <c r="C224" s="453">
        <v>46046.416666666664</v>
      </c>
      <c r="D224" s="453">
        <v>46046.625</v>
      </c>
      <c r="E224" s="453">
        <v>46046.75</v>
      </c>
      <c r="F224" s="453">
        <v>46046.791666666664</v>
      </c>
      <c r="G224" s="453">
        <v>46046.958333333336</v>
      </c>
      <c r="H224" t="s">
        <v>311</v>
      </c>
      <c r="I224" t="s">
        <v>172</v>
      </c>
      <c r="J224" t="s">
        <v>107</v>
      </c>
      <c r="M224" t="s">
        <v>188</v>
      </c>
      <c r="N224">
        <v>0</v>
      </c>
      <c r="O224">
        <v>0</v>
      </c>
      <c r="P224">
        <v>0</v>
      </c>
      <c r="Q224">
        <v>0</v>
      </c>
      <c r="R224">
        <v>0</v>
      </c>
      <c r="S224" s="453">
        <v>45827.020138888889</v>
      </c>
      <c r="T224" t="s">
        <v>41</v>
      </c>
      <c r="U224" t="s">
        <v>445</v>
      </c>
      <c r="V224" t="s">
        <v>607</v>
      </c>
    </row>
    <row r="225" spans="1:22">
      <c r="A225">
        <v>23</v>
      </c>
      <c r="B225" s="111">
        <v>46046</v>
      </c>
      <c r="C225" s="453">
        <v>46046.416666666664</v>
      </c>
      <c r="D225" s="453">
        <v>46046.625</v>
      </c>
      <c r="E225" s="453">
        <v>46046.75</v>
      </c>
      <c r="F225" s="453">
        <v>46046.791666666664</v>
      </c>
      <c r="G225" s="453">
        <v>46046.958333333336</v>
      </c>
      <c r="H225" t="s">
        <v>489</v>
      </c>
      <c r="I225" t="s">
        <v>451</v>
      </c>
      <c r="J225" t="s">
        <v>5</v>
      </c>
      <c r="M225" t="s">
        <v>13</v>
      </c>
      <c r="N225">
        <v>0</v>
      </c>
      <c r="O225">
        <v>0</v>
      </c>
      <c r="P225">
        <v>0</v>
      </c>
      <c r="Q225">
        <v>0</v>
      </c>
      <c r="R225">
        <v>0</v>
      </c>
      <c r="S225" s="453">
        <v>45827.020138888889</v>
      </c>
      <c r="T225" t="s">
        <v>41</v>
      </c>
      <c r="U225" t="s">
        <v>445</v>
      </c>
      <c r="V225" t="s">
        <v>607</v>
      </c>
    </row>
    <row r="226" spans="1:22">
      <c r="A226">
        <v>23</v>
      </c>
      <c r="B226" s="111">
        <v>46046</v>
      </c>
      <c r="C226" s="453">
        <v>46046.416666666664</v>
      </c>
      <c r="D226" s="453">
        <v>46046.625</v>
      </c>
      <c r="E226" s="453">
        <v>46046.75</v>
      </c>
      <c r="F226" s="453">
        <v>46046.791666666664</v>
      </c>
      <c r="G226" s="453">
        <v>46046.958333333336</v>
      </c>
      <c r="H226" t="s">
        <v>141</v>
      </c>
      <c r="I226" t="s">
        <v>44</v>
      </c>
      <c r="J226" t="s">
        <v>7</v>
      </c>
      <c r="M226" t="s">
        <v>6</v>
      </c>
      <c r="N226">
        <v>0</v>
      </c>
      <c r="O226">
        <v>0</v>
      </c>
      <c r="P226">
        <v>0</v>
      </c>
      <c r="Q226">
        <v>0</v>
      </c>
      <c r="R226">
        <v>0</v>
      </c>
      <c r="S226" s="453">
        <v>45827.020138888889</v>
      </c>
      <c r="T226" t="s">
        <v>41</v>
      </c>
      <c r="U226" t="s">
        <v>445</v>
      </c>
      <c r="V226" t="s">
        <v>607</v>
      </c>
    </row>
    <row r="227" spans="1:22">
      <c r="A227">
        <v>23</v>
      </c>
      <c r="B227" s="111">
        <v>46046</v>
      </c>
      <c r="C227" s="453">
        <v>46046.416666666664</v>
      </c>
      <c r="D227" s="453">
        <v>46046.625</v>
      </c>
      <c r="E227" s="453">
        <v>46046.75</v>
      </c>
      <c r="F227" s="453">
        <v>46046.791666666664</v>
      </c>
      <c r="G227" s="453">
        <v>46046.958333333336</v>
      </c>
      <c r="H227" t="s">
        <v>535</v>
      </c>
      <c r="I227" t="s">
        <v>452</v>
      </c>
      <c r="J227" t="s">
        <v>8</v>
      </c>
      <c r="M227" t="s">
        <v>444</v>
      </c>
      <c r="N227">
        <v>0</v>
      </c>
      <c r="O227">
        <v>0</v>
      </c>
      <c r="P227">
        <v>0</v>
      </c>
      <c r="Q227">
        <v>0</v>
      </c>
      <c r="R227">
        <v>0</v>
      </c>
      <c r="S227" s="453">
        <v>45827.020138888889</v>
      </c>
      <c r="T227" t="s">
        <v>41</v>
      </c>
      <c r="U227" t="s">
        <v>445</v>
      </c>
      <c r="V227" t="s">
        <v>607</v>
      </c>
    </row>
    <row r="228" spans="1:22">
      <c r="A228">
        <v>23</v>
      </c>
      <c r="B228" s="111">
        <v>46046</v>
      </c>
      <c r="C228" s="453">
        <v>46046.416666666664</v>
      </c>
      <c r="D228" s="453">
        <v>46046.625</v>
      </c>
      <c r="E228" s="453">
        <v>46046.75</v>
      </c>
      <c r="F228" s="453">
        <v>46046.791666666664</v>
      </c>
      <c r="G228" s="453">
        <v>46046.958333333336</v>
      </c>
      <c r="H228" t="s">
        <v>299</v>
      </c>
      <c r="I228" t="s">
        <v>157</v>
      </c>
      <c r="J228" t="s">
        <v>108</v>
      </c>
      <c r="M228" t="s">
        <v>4</v>
      </c>
      <c r="N228">
        <v>0</v>
      </c>
      <c r="O228">
        <v>0</v>
      </c>
      <c r="P228">
        <v>0</v>
      </c>
      <c r="Q228">
        <v>0</v>
      </c>
      <c r="R228">
        <v>0</v>
      </c>
      <c r="S228" s="453">
        <v>45827.020138888889</v>
      </c>
      <c r="T228" t="s">
        <v>41</v>
      </c>
      <c r="U228" t="s">
        <v>445</v>
      </c>
      <c r="V228" t="s">
        <v>607</v>
      </c>
    </row>
    <row r="229" spans="1:22">
      <c r="A229">
        <v>23</v>
      </c>
      <c r="B229" s="111">
        <v>46046</v>
      </c>
      <c r="C229" s="453">
        <v>46046.416666666664</v>
      </c>
      <c r="D229" s="453">
        <v>46046.625</v>
      </c>
      <c r="E229" s="453">
        <v>46046.75</v>
      </c>
      <c r="F229" s="453">
        <v>46046.791666666664</v>
      </c>
      <c r="G229" s="453">
        <v>46046.958333333336</v>
      </c>
      <c r="H229" t="s">
        <v>415</v>
      </c>
      <c r="I229" t="s">
        <v>50</v>
      </c>
      <c r="J229" t="s">
        <v>10</v>
      </c>
      <c r="M229" t="s">
        <v>15</v>
      </c>
      <c r="N229">
        <v>0</v>
      </c>
      <c r="O229">
        <v>0</v>
      </c>
      <c r="P229">
        <v>0</v>
      </c>
      <c r="Q229">
        <v>0</v>
      </c>
      <c r="R229">
        <v>0</v>
      </c>
      <c r="S229" s="453">
        <v>45827.020138888889</v>
      </c>
      <c r="T229" t="s">
        <v>41</v>
      </c>
      <c r="U229" t="s">
        <v>445</v>
      </c>
      <c r="V229" t="s">
        <v>607</v>
      </c>
    </row>
    <row r="230" spans="1:22">
      <c r="A230">
        <v>23</v>
      </c>
      <c r="B230" s="111">
        <v>46046</v>
      </c>
      <c r="C230" s="453">
        <v>46046.416666666664</v>
      </c>
      <c r="D230" s="453">
        <v>46046.625</v>
      </c>
      <c r="E230" s="453">
        <v>46046.75</v>
      </c>
      <c r="F230" s="453">
        <v>46046.791666666664</v>
      </c>
      <c r="G230" s="453">
        <v>46046.958333333336</v>
      </c>
      <c r="H230" t="s">
        <v>317</v>
      </c>
      <c r="I230" t="s">
        <v>46</v>
      </c>
      <c r="J230" t="s">
        <v>12</v>
      </c>
      <c r="M230" t="s">
        <v>2</v>
      </c>
      <c r="N230">
        <v>0</v>
      </c>
      <c r="O230">
        <v>0</v>
      </c>
      <c r="P230">
        <v>0</v>
      </c>
      <c r="Q230">
        <v>0</v>
      </c>
      <c r="R230">
        <v>0</v>
      </c>
      <c r="S230" s="453">
        <v>45827.020138888889</v>
      </c>
      <c r="T230" t="s">
        <v>41</v>
      </c>
      <c r="U230" t="s">
        <v>445</v>
      </c>
      <c r="V230" t="s">
        <v>607</v>
      </c>
    </row>
    <row r="231" spans="1:22">
      <c r="A231">
        <v>23</v>
      </c>
      <c r="B231" s="111">
        <v>46046</v>
      </c>
      <c r="C231" s="453">
        <v>46046.416666666664</v>
      </c>
      <c r="D231" s="453">
        <v>46046.625</v>
      </c>
      <c r="E231" s="453">
        <v>46046.75</v>
      </c>
      <c r="F231" s="453">
        <v>46046.791666666664</v>
      </c>
      <c r="G231" s="453">
        <v>46046.958333333336</v>
      </c>
      <c r="H231" t="s">
        <v>490</v>
      </c>
      <c r="I231" t="s">
        <v>42</v>
      </c>
      <c r="J231" t="s">
        <v>14</v>
      </c>
      <c r="M231" t="s">
        <v>443</v>
      </c>
      <c r="N231">
        <v>0</v>
      </c>
      <c r="O231">
        <v>0</v>
      </c>
      <c r="P231">
        <v>0</v>
      </c>
      <c r="Q231">
        <v>0</v>
      </c>
      <c r="R231">
        <v>0</v>
      </c>
      <c r="S231" s="453">
        <v>45827.020833333336</v>
      </c>
      <c r="T231" t="s">
        <v>41</v>
      </c>
      <c r="U231" t="s">
        <v>445</v>
      </c>
      <c r="V231" t="s">
        <v>607</v>
      </c>
    </row>
    <row r="232" spans="1:22">
      <c r="A232">
        <v>24</v>
      </c>
      <c r="B232" s="111">
        <v>46053</v>
      </c>
      <c r="C232" s="453">
        <v>46053.416666666664</v>
      </c>
      <c r="D232" s="453">
        <v>46053.625</v>
      </c>
      <c r="E232" s="453">
        <v>46053.75</v>
      </c>
      <c r="F232" s="453">
        <v>46053.791666666664</v>
      </c>
      <c r="G232" s="453">
        <v>46053.958333333336</v>
      </c>
      <c r="H232" t="s">
        <v>115</v>
      </c>
      <c r="I232" t="s">
        <v>49</v>
      </c>
      <c r="J232" t="s">
        <v>2</v>
      </c>
      <c r="M232" t="s">
        <v>107</v>
      </c>
      <c r="N232">
        <v>0</v>
      </c>
      <c r="O232">
        <v>0</v>
      </c>
      <c r="P232">
        <v>0</v>
      </c>
      <c r="Q232">
        <v>0</v>
      </c>
      <c r="R232">
        <v>0</v>
      </c>
      <c r="S232" s="453">
        <v>45827.020833333336</v>
      </c>
      <c r="T232" t="s">
        <v>41</v>
      </c>
      <c r="U232" t="s">
        <v>445</v>
      </c>
      <c r="V232" t="s">
        <v>607</v>
      </c>
    </row>
    <row r="233" spans="1:22">
      <c r="A233">
        <v>24</v>
      </c>
      <c r="B233" s="111">
        <v>46053</v>
      </c>
      <c r="C233" s="453">
        <v>46053.416666666664</v>
      </c>
      <c r="D233" s="453">
        <v>46053.625</v>
      </c>
      <c r="E233" s="453">
        <v>46053.75</v>
      </c>
      <c r="F233" s="453">
        <v>46053.791666666664</v>
      </c>
      <c r="G233" s="453">
        <v>46053.958333333336</v>
      </c>
      <c r="H233" t="s">
        <v>345</v>
      </c>
      <c r="I233" t="s">
        <v>217</v>
      </c>
      <c r="J233" t="s">
        <v>4</v>
      </c>
      <c r="M233" t="s">
        <v>8</v>
      </c>
      <c r="N233">
        <v>0</v>
      </c>
      <c r="O233">
        <v>0</v>
      </c>
      <c r="P233">
        <v>0</v>
      </c>
      <c r="Q233">
        <v>0</v>
      </c>
      <c r="R233">
        <v>0</v>
      </c>
      <c r="S233" s="453">
        <v>45827.020833333336</v>
      </c>
      <c r="T233" t="s">
        <v>41</v>
      </c>
      <c r="U233" t="s">
        <v>445</v>
      </c>
      <c r="V233" t="s">
        <v>607</v>
      </c>
    </row>
    <row r="234" spans="1:22">
      <c r="A234">
        <v>24</v>
      </c>
      <c r="B234" s="111">
        <v>46053</v>
      </c>
      <c r="C234" s="453">
        <v>46053.416666666664</v>
      </c>
      <c r="D234" s="453">
        <v>46053.625</v>
      </c>
      <c r="E234" s="453">
        <v>46053.75</v>
      </c>
      <c r="F234" s="453">
        <v>46053.791666666664</v>
      </c>
      <c r="G234" s="453">
        <v>46053.958333333336</v>
      </c>
      <c r="H234" t="s">
        <v>353</v>
      </c>
      <c r="I234" t="s">
        <v>51</v>
      </c>
      <c r="J234" t="s">
        <v>6</v>
      </c>
      <c r="M234" t="s">
        <v>14</v>
      </c>
      <c r="N234">
        <v>0</v>
      </c>
      <c r="O234">
        <v>0</v>
      </c>
      <c r="P234">
        <v>0</v>
      </c>
      <c r="Q234">
        <v>0</v>
      </c>
      <c r="R234">
        <v>0</v>
      </c>
      <c r="S234" s="453">
        <v>45827.020833333336</v>
      </c>
      <c r="T234" t="s">
        <v>41</v>
      </c>
      <c r="U234" t="s">
        <v>445</v>
      </c>
      <c r="V234" t="s">
        <v>607</v>
      </c>
    </row>
    <row r="235" spans="1:22">
      <c r="A235">
        <v>24</v>
      </c>
      <c r="B235" s="111">
        <v>46053</v>
      </c>
      <c r="C235" s="453">
        <v>46053.416666666664</v>
      </c>
      <c r="D235" s="453">
        <v>46053.625</v>
      </c>
      <c r="E235" s="453">
        <v>46053.75</v>
      </c>
      <c r="F235" s="453">
        <v>46053.791666666664</v>
      </c>
      <c r="G235" s="453">
        <v>46053.958333333336</v>
      </c>
      <c r="H235" t="s">
        <v>536</v>
      </c>
      <c r="I235" t="s">
        <v>449</v>
      </c>
      <c r="J235" t="s">
        <v>444</v>
      </c>
      <c r="M235" t="s">
        <v>1</v>
      </c>
      <c r="N235">
        <v>0</v>
      </c>
      <c r="O235">
        <v>0</v>
      </c>
      <c r="P235">
        <v>0</v>
      </c>
      <c r="Q235">
        <v>0</v>
      </c>
      <c r="R235">
        <v>0</v>
      </c>
      <c r="S235" s="453">
        <v>45827.020833333336</v>
      </c>
      <c r="T235" t="s">
        <v>41</v>
      </c>
      <c r="U235" t="s">
        <v>445</v>
      </c>
      <c r="V235" t="s">
        <v>607</v>
      </c>
    </row>
    <row r="236" spans="1:22">
      <c r="A236">
        <v>24</v>
      </c>
      <c r="B236" s="111">
        <v>46053</v>
      </c>
      <c r="C236" s="453">
        <v>46053.416666666664</v>
      </c>
      <c r="D236" s="453">
        <v>46053.625</v>
      </c>
      <c r="E236" s="453">
        <v>46053.75</v>
      </c>
      <c r="F236" s="453">
        <v>46053.791666666664</v>
      </c>
      <c r="G236" s="453">
        <v>46053.958333333336</v>
      </c>
      <c r="H236" t="s">
        <v>373</v>
      </c>
      <c r="I236" t="s">
        <v>40</v>
      </c>
      <c r="J236" t="s">
        <v>9</v>
      </c>
      <c r="M236" t="s">
        <v>12</v>
      </c>
      <c r="N236">
        <v>0</v>
      </c>
      <c r="O236">
        <v>0</v>
      </c>
      <c r="P236">
        <v>0</v>
      </c>
      <c r="Q236">
        <v>0</v>
      </c>
      <c r="R236">
        <v>0</v>
      </c>
      <c r="S236" s="453">
        <v>45827.020833333336</v>
      </c>
      <c r="T236" t="s">
        <v>41</v>
      </c>
      <c r="U236" t="s">
        <v>445</v>
      </c>
      <c r="V236" t="s">
        <v>607</v>
      </c>
    </row>
    <row r="237" spans="1:22">
      <c r="A237">
        <v>24</v>
      </c>
      <c r="B237" s="111">
        <v>46053</v>
      </c>
      <c r="C237" s="453">
        <v>46053.416666666664</v>
      </c>
      <c r="D237" s="453">
        <v>46053.625</v>
      </c>
      <c r="E237" s="453">
        <v>46053.75</v>
      </c>
      <c r="F237" s="453">
        <v>46053.791666666664</v>
      </c>
      <c r="G237" s="453">
        <v>46053.958333333336</v>
      </c>
      <c r="H237" t="s">
        <v>219</v>
      </c>
      <c r="I237" t="s">
        <v>47</v>
      </c>
      <c r="J237" t="s">
        <v>11</v>
      </c>
      <c r="M237" t="s">
        <v>108</v>
      </c>
      <c r="N237">
        <v>0</v>
      </c>
      <c r="O237">
        <v>0</v>
      </c>
      <c r="P237">
        <v>0</v>
      </c>
      <c r="Q237">
        <v>0</v>
      </c>
      <c r="R237">
        <v>0</v>
      </c>
      <c r="S237" s="453">
        <v>45827.020833333336</v>
      </c>
      <c r="T237" t="s">
        <v>41</v>
      </c>
      <c r="U237" t="s">
        <v>445</v>
      </c>
      <c r="V237" t="s">
        <v>607</v>
      </c>
    </row>
    <row r="238" spans="1:22">
      <c r="A238">
        <v>24</v>
      </c>
      <c r="B238" s="111">
        <v>46053</v>
      </c>
      <c r="C238" s="453">
        <v>46053.416666666664</v>
      </c>
      <c r="D238" s="453">
        <v>46053.625</v>
      </c>
      <c r="E238" s="453">
        <v>46053.75</v>
      </c>
      <c r="F238" s="453">
        <v>46053.791666666664</v>
      </c>
      <c r="G238" s="453">
        <v>46053.958333333336</v>
      </c>
      <c r="H238" t="s">
        <v>267</v>
      </c>
      <c r="I238" t="s">
        <v>158</v>
      </c>
      <c r="J238" t="s">
        <v>188</v>
      </c>
      <c r="M238" t="s">
        <v>7</v>
      </c>
      <c r="N238">
        <v>0</v>
      </c>
      <c r="O238">
        <v>0</v>
      </c>
      <c r="P238">
        <v>0</v>
      </c>
      <c r="Q238">
        <v>0</v>
      </c>
      <c r="R238">
        <v>0</v>
      </c>
      <c r="S238" s="453">
        <v>45827.020833333336</v>
      </c>
      <c r="T238" t="s">
        <v>41</v>
      </c>
      <c r="U238" t="s">
        <v>445</v>
      </c>
      <c r="V238" t="s">
        <v>607</v>
      </c>
    </row>
    <row r="239" spans="1:22">
      <c r="A239">
        <v>24</v>
      </c>
      <c r="B239" s="111">
        <v>46053</v>
      </c>
      <c r="C239" s="453">
        <v>46053.416666666664</v>
      </c>
      <c r="D239" s="453">
        <v>46053.625</v>
      </c>
      <c r="E239" s="453">
        <v>46053.75</v>
      </c>
      <c r="F239" s="453">
        <v>46053.791666666664</v>
      </c>
      <c r="G239" s="453">
        <v>46053.958333333336</v>
      </c>
      <c r="H239" t="s">
        <v>371</v>
      </c>
      <c r="I239" t="s">
        <v>45</v>
      </c>
      <c r="J239" t="s">
        <v>13</v>
      </c>
      <c r="M239" t="s">
        <v>10</v>
      </c>
      <c r="N239">
        <v>0</v>
      </c>
      <c r="O239">
        <v>0</v>
      </c>
      <c r="P239">
        <v>0</v>
      </c>
      <c r="Q239">
        <v>0</v>
      </c>
      <c r="R239">
        <v>0</v>
      </c>
      <c r="S239" s="453">
        <v>45827.020833333336</v>
      </c>
      <c r="T239" t="s">
        <v>41</v>
      </c>
      <c r="U239" t="s">
        <v>445</v>
      </c>
      <c r="V239" t="s">
        <v>607</v>
      </c>
    </row>
    <row r="240" spans="1:22">
      <c r="A240">
        <v>24</v>
      </c>
      <c r="B240" s="111">
        <v>46053</v>
      </c>
      <c r="C240" s="453">
        <v>46053.416666666664</v>
      </c>
      <c r="D240" s="453">
        <v>46053.625</v>
      </c>
      <c r="E240" s="453">
        <v>46053.75</v>
      </c>
      <c r="F240" s="453">
        <v>46053.791666666664</v>
      </c>
      <c r="G240" s="453">
        <v>46053.958333333336</v>
      </c>
      <c r="H240" t="s">
        <v>491</v>
      </c>
      <c r="I240" t="s">
        <v>448</v>
      </c>
      <c r="J240" t="s">
        <v>443</v>
      </c>
      <c r="M240" t="s">
        <v>5</v>
      </c>
      <c r="N240">
        <v>0</v>
      </c>
      <c r="O240">
        <v>0</v>
      </c>
      <c r="P240">
        <v>0</v>
      </c>
      <c r="Q240">
        <v>0</v>
      </c>
      <c r="R240">
        <v>0</v>
      </c>
      <c r="S240" s="453">
        <v>45827.020833333336</v>
      </c>
      <c r="T240" t="s">
        <v>41</v>
      </c>
      <c r="U240" t="s">
        <v>445</v>
      </c>
      <c r="V240" t="s">
        <v>607</v>
      </c>
    </row>
    <row r="241" spans="1:22">
      <c r="A241">
        <v>24</v>
      </c>
      <c r="B241" s="111">
        <v>46053</v>
      </c>
      <c r="C241" s="453">
        <v>46053.416666666664</v>
      </c>
      <c r="D241" s="453">
        <v>46053.625</v>
      </c>
      <c r="E241" s="453">
        <v>46053.75</v>
      </c>
      <c r="F241" s="453">
        <v>46053.791666666664</v>
      </c>
      <c r="G241" s="453">
        <v>46053.958333333336</v>
      </c>
      <c r="H241" t="s">
        <v>290</v>
      </c>
      <c r="I241" t="s">
        <v>52</v>
      </c>
      <c r="J241" t="s">
        <v>15</v>
      </c>
      <c r="M241" t="s">
        <v>3</v>
      </c>
      <c r="N241">
        <v>0</v>
      </c>
      <c r="O241">
        <v>0</v>
      </c>
      <c r="P241">
        <v>0</v>
      </c>
      <c r="Q241">
        <v>0</v>
      </c>
      <c r="R241">
        <v>0</v>
      </c>
      <c r="S241" s="453">
        <v>45827.020833333336</v>
      </c>
      <c r="T241" t="s">
        <v>41</v>
      </c>
      <c r="U241" t="s">
        <v>445</v>
      </c>
      <c r="V241" t="s">
        <v>607</v>
      </c>
    </row>
    <row r="242" spans="1:22">
      <c r="A242">
        <v>25</v>
      </c>
      <c r="B242" s="111">
        <v>46060</v>
      </c>
      <c r="C242" s="453">
        <v>46060.416666666664</v>
      </c>
      <c r="D242" s="453">
        <v>46060.625</v>
      </c>
      <c r="E242" s="453">
        <v>46060.75</v>
      </c>
      <c r="F242" s="453">
        <v>46060.791666666664</v>
      </c>
      <c r="G242" s="453">
        <v>46060.958333333336</v>
      </c>
      <c r="H242" t="s">
        <v>492</v>
      </c>
      <c r="I242" t="s">
        <v>48</v>
      </c>
      <c r="J242" t="s">
        <v>1</v>
      </c>
      <c r="M242" t="s">
        <v>443</v>
      </c>
      <c r="N242">
        <v>0</v>
      </c>
      <c r="O242">
        <v>0</v>
      </c>
      <c r="P242">
        <v>0</v>
      </c>
      <c r="Q242">
        <v>0</v>
      </c>
      <c r="R242">
        <v>0</v>
      </c>
      <c r="S242" s="453">
        <v>45827.020833333336</v>
      </c>
      <c r="T242" t="s">
        <v>41</v>
      </c>
      <c r="U242" t="s">
        <v>445</v>
      </c>
      <c r="V242" t="s">
        <v>607</v>
      </c>
    </row>
    <row r="243" spans="1:22">
      <c r="A243">
        <v>25</v>
      </c>
      <c r="B243" s="111">
        <v>46060</v>
      </c>
      <c r="C243" s="453">
        <v>46060.416666666664</v>
      </c>
      <c r="D243" s="453">
        <v>46060.625</v>
      </c>
      <c r="E243" s="453">
        <v>46060.75</v>
      </c>
      <c r="F243" s="453">
        <v>46060.791666666664</v>
      </c>
      <c r="G243" s="453">
        <v>46060.958333333336</v>
      </c>
      <c r="H243" t="s">
        <v>417</v>
      </c>
      <c r="I243" t="s">
        <v>43</v>
      </c>
      <c r="J243" t="s">
        <v>3</v>
      </c>
      <c r="M243" t="s">
        <v>2</v>
      </c>
      <c r="N243">
        <v>0</v>
      </c>
      <c r="O243">
        <v>0</v>
      </c>
      <c r="P243">
        <v>0</v>
      </c>
      <c r="Q243">
        <v>0</v>
      </c>
      <c r="R243">
        <v>0</v>
      </c>
      <c r="S243" s="453">
        <v>45827.020833333336</v>
      </c>
      <c r="T243" t="s">
        <v>41</v>
      </c>
      <c r="U243" t="s">
        <v>445</v>
      </c>
      <c r="V243" t="s">
        <v>607</v>
      </c>
    </row>
    <row r="244" spans="1:22">
      <c r="A244">
        <v>25</v>
      </c>
      <c r="B244" s="111">
        <v>46060</v>
      </c>
      <c r="C244" s="453">
        <v>46060.416666666664</v>
      </c>
      <c r="D244" s="453">
        <v>46060.625</v>
      </c>
      <c r="E244" s="453">
        <v>46060.75</v>
      </c>
      <c r="F244" s="453">
        <v>46060.791666666664</v>
      </c>
      <c r="G244" s="453">
        <v>46060.958333333336</v>
      </c>
      <c r="H244" t="s">
        <v>307</v>
      </c>
      <c r="I244" t="s">
        <v>217</v>
      </c>
      <c r="J244" t="s">
        <v>4</v>
      </c>
      <c r="M244" t="s">
        <v>7</v>
      </c>
      <c r="N244">
        <v>0</v>
      </c>
      <c r="O244">
        <v>0</v>
      </c>
      <c r="P244">
        <v>0</v>
      </c>
      <c r="Q244">
        <v>0</v>
      </c>
      <c r="R244">
        <v>0</v>
      </c>
      <c r="S244" s="453">
        <v>45827.020833333336</v>
      </c>
      <c r="T244" t="s">
        <v>41</v>
      </c>
      <c r="U244" t="s">
        <v>445</v>
      </c>
      <c r="V244" t="s">
        <v>607</v>
      </c>
    </row>
    <row r="245" spans="1:22">
      <c r="A245">
        <v>25</v>
      </c>
      <c r="B245" s="111">
        <v>46060</v>
      </c>
      <c r="C245" s="453">
        <v>46060.416666666664</v>
      </c>
      <c r="D245" s="453">
        <v>46060.625</v>
      </c>
      <c r="E245" s="453">
        <v>46060.75</v>
      </c>
      <c r="F245" s="453">
        <v>46060.791666666664</v>
      </c>
      <c r="G245" s="453">
        <v>46060.958333333336</v>
      </c>
      <c r="H245" t="s">
        <v>493</v>
      </c>
      <c r="I245" t="s">
        <v>451</v>
      </c>
      <c r="J245" t="s">
        <v>5</v>
      </c>
      <c r="M245" t="s">
        <v>14</v>
      </c>
      <c r="N245">
        <v>0</v>
      </c>
      <c r="O245">
        <v>0</v>
      </c>
      <c r="P245">
        <v>0</v>
      </c>
      <c r="Q245">
        <v>0</v>
      </c>
      <c r="R245">
        <v>0</v>
      </c>
      <c r="S245" s="453">
        <v>45827.020833333336</v>
      </c>
      <c r="T245" t="s">
        <v>41</v>
      </c>
      <c r="U245" t="s">
        <v>445</v>
      </c>
      <c r="V245" t="s">
        <v>607</v>
      </c>
    </row>
    <row r="246" spans="1:22">
      <c r="A246">
        <v>25</v>
      </c>
      <c r="B246" s="111">
        <v>46060</v>
      </c>
      <c r="C246" s="453">
        <v>46060.416666666664</v>
      </c>
      <c r="D246" s="453">
        <v>46060.625</v>
      </c>
      <c r="E246" s="453">
        <v>46060.75</v>
      </c>
      <c r="F246" s="453">
        <v>46060.791666666664</v>
      </c>
      <c r="G246" s="453">
        <v>46060.958333333336</v>
      </c>
      <c r="H246" t="s">
        <v>163</v>
      </c>
      <c r="I246" t="s">
        <v>157</v>
      </c>
      <c r="J246" t="s">
        <v>108</v>
      </c>
      <c r="M246" t="s">
        <v>8</v>
      </c>
      <c r="N246">
        <v>0</v>
      </c>
      <c r="O246">
        <v>0</v>
      </c>
      <c r="P246">
        <v>0</v>
      </c>
      <c r="Q246">
        <v>0</v>
      </c>
      <c r="R246">
        <v>0</v>
      </c>
      <c r="S246" s="453">
        <v>45827.020833333336</v>
      </c>
      <c r="T246" t="s">
        <v>41</v>
      </c>
      <c r="U246" t="s">
        <v>445</v>
      </c>
      <c r="V246" t="s">
        <v>607</v>
      </c>
    </row>
    <row r="247" spans="1:22">
      <c r="A247">
        <v>25</v>
      </c>
      <c r="B247" s="111">
        <v>46060</v>
      </c>
      <c r="C247" s="453">
        <v>46060.416666666664</v>
      </c>
      <c r="D247" s="453">
        <v>46060.625</v>
      </c>
      <c r="E247" s="453">
        <v>46060.75</v>
      </c>
      <c r="F247" s="453">
        <v>46060.791666666664</v>
      </c>
      <c r="G247" s="453">
        <v>46060.958333333336</v>
      </c>
      <c r="H247" t="s">
        <v>537</v>
      </c>
      <c r="I247" t="s">
        <v>449</v>
      </c>
      <c r="J247" t="s">
        <v>444</v>
      </c>
      <c r="M247" t="s">
        <v>188</v>
      </c>
      <c r="N247">
        <v>0</v>
      </c>
      <c r="O247">
        <v>0</v>
      </c>
      <c r="P247">
        <v>0</v>
      </c>
      <c r="Q247">
        <v>0</v>
      </c>
      <c r="R247">
        <v>0</v>
      </c>
      <c r="S247" s="453">
        <v>45827.020833333336</v>
      </c>
      <c r="T247" t="s">
        <v>41</v>
      </c>
      <c r="U247" t="s">
        <v>445</v>
      </c>
      <c r="V247" t="s">
        <v>607</v>
      </c>
    </row>
    <row r="248" spans="1:22">
      <c r="A248">
        <v>25</v>
      </c>
      <c r="B248" s="111">
        <v>46060</v>
      </c>
      <c r="C248" s="453">
        <v>46060.416666666664</v>
      </c>
      <c r="D248" s="453">
        <v>46060.625</v>
      </c>
      <c r="E248" s="453">
        <v>46060.75</v>
      </c>
      <c r="F248" s="453">
        <v>46060.791666666664</v>
      </c>
      <c r="G248" s="453">
        <v>46060.958333333336</v>
      </c>
      <c r="H248" t="s">
        <v>294</v>
      </c>
      <c r="I248" t="s">
        <v>40</v>
      </c>
      <c r="J248" t="s">
        <v>9</v>
      </c>
      <c r="M248" t="s">
        <v>10</v>
      </c>
      <c r="N248">
        <v>0</v>
      </c>
      <c r="O248">
        <v>0</v>
      </c>
      <c r="P248">
        <v>0</v>
      </c>
      <c r="Q248">
        <v>0</v>
      </c>
      <c r="R248">
        <v>0</v>
      </c>
      <c r="S248" s="453">
        <v>45827.020833333336</v>
      </c>
      <c r="T248" t="s">
        <v>41</v>
      </c>
      <c r="U248" t="s">
        <v>445</v>
      </c>
      <c r="V248" t="s">
        <v>607</v>
      </c>
    </row>
    <row r="249" spans="1:22">
      <c r="A249">
        <v>25</v>
      </c>
      <c r="B249" s="111">
        <v>46060</v>
      </c>
      <c r="C249" s="453">
        <v>46060.416666666664</v>
      </c>
      <c r="D249" s="453">
        <v>46060.625</v>
      </c>
      <c r="E249" s="453">
        <v>46060.75</v>
      </c>
      <c r="F249" s="453">
        <v>46060.791666666664</v>
      </c>
      <c r="G249" s="453">
        <v>46060.958333333336</v>
      </c>
      <c r="H249" t="s">
        <v>255</v>
      </c>
      <c r="I249" t="s">
        <v>47</v>
      </c>
      <c r="J249" t="s">
        <v>11</v>
      </c>
      <c r="M249" t="s">
        <v>13</v>
      </c>
      <c r="N249">
        <v>0</v>
      </c>
      <c r="O249">
        <v>0</v>
      </c>
      <c r="P249">
        <v>0</v>
      </c>
      <c r="Q249">
        <v>0</v>
      </c>
      <c r="R249">
        <v>0</v>
      </c>
      <c r="S249" s="453">
        <v>45827.020833333336</v>
      </c>
      <c r="T249" t="s">
        <v>41</v>
      </c>
      <c r="U249" t="s">
        <v>445</v>
      </c>
      <c r="V249" t="s">
        <v>607</v>
      </c>
    </row>
    <row r="250" spans="1:22">
      <c r="A250">
        <v>25</v>
      </c>
      <c r="B250" s="111">
        <v>46060</v>
      </c>
      <c r="C250" s="453">
        <v>46060.416666666664</v>
      </c>
      <c r="D250" s="453">
        <v>46060.625</v>
      </c>
      <c r="E250" s="453">
        <v>46060.75</v>
      </c>
      <c r="F250" s="453">
        <v>46060.791666666664</v>
      </c>
      <c r="G250" s="453">
        <v>46060.958333333336</v>
      </c>
      <c r="H250" t="s">
        <v>389</v>
      </c>
      <c r="I250" t="s">
        <v>46</v>
      </c>
      <c r="J250" t="s">
        <v>12</v>
      </c>
      <c r="M250" t="s">
        <v>107</v>
      </c>
      <c r="N250">
        <v>0</v>
      </c>
      <c r="O250">
        <v>0</v>
      </c>
      <c r="P250">
        <v>0</v>
      </c>
      <c r="Q250">
        <v>0</v>
      </c>
      <c r="R250">
        <v>0</v>
      </c>
      <c r="S250" s="453">
        <v>45827.020833333336</v>
      </c>
      <c r="T250" t="s">
        <v>41</v>
      </c>
      <c r="U250" t="s">
        <v>445</v>
      </c>
      <c r="V250" t="s">
        <v>607</v>
      </c>
    </row>
    <row r="251" spans="1:22">
      <c r="A251">
        <v>25</v>
      </c>
      <c r="B251" s="111">
        <v>46060</v>
      </c>
      <c r="C251" s="453">
        <v>46060.416666666664</v>
      </c>
      <c r="D251" s="453">
        <v>46060.625</v>
      </c>
      <c r="E251" s="453">
        <v>46060.75</v>
      </c>
      <c r="F251" s="453">
        <v>46060.791666666664</v>
      </c>
      <c r="G251" s="453">
        <v>46060.958333333336</v>
      </c>
      <c r="H251" t="s">
        <v>229</v>
      </c>
      <c r="I251" t="s">
        <v>52</v>
      </c>
      <c r="J251" t="s">
        <v>15</v>
      </c>
      <c r="M251" t="s">
        <v>6</v>
      </c>
      <c r="N251">
        <v>0</v>
      </c>
      <c r="O251">
        <v>0</v>
      </c>
      <c r="P251">
        <v>0</v>
      </c>
      <c r="Q251">
        <v>0</v>
      </c>
      <c r="R251">
        <v>0</v>
      </c>
      <c r="S251" s="453">
        <v>45827.020833333336</v>
      </c>
      <c r="T251" t="s">
        <v>41</v>
      </c>
      <c r="U251" t="s">
        <v>445</v>
      </c>
      <c r="V251" t="s">
        <v>607</v>
      </c>
    </row>
    <row r="252" spans="1:22">
      <c r="A252">
        <v>26</v>
      </c>
      <c r="B252" s="111">
        <v>46064</v>
      </c>
      <c r="C252" s="453">
        <v>46064.625</v>
      </c>
      <c r="D252" s="453">
        <v>46064.833333333336</v>
      </c>
      <c r="E252" s="453">
        <v>46064.958333333336</v>
      </c>
      <c r="F252" s="453">
        <v>46065</v>
      </c>
      <c r="G252" s="453">
        <v>46065.166666666664</v>
      </c>
      <c r="H252" t="s">
        <v>325</v>
      </c>
      <c r="I252" t="s">
        <v>49</v>
      </c>
      <c r="J252" t="s">
        <v>2</v>
      </c>
      <c r="M252" t="s">
        <v>4</v>
      </c>
      <c r="N252">
        <v>0</v>
      </c>
      <c r="O252">
        <v>0</v>
      </c>
      <c r="P252">
        <v>0</v>
      </c>
      <c r="Q252">
        <v>0</v>
      </c>
      <c r="R252">
        <v>0</v>
      </c>
      <c r="S252" s="453">
        <v>45827.020833333336</v>
      </c>
      <c r="T252" t="s">
        <v>41</v>
      </c>
      <c r="U252" t="s">
        <v>445</v>
      </c>
      <c r="V252" t="s">
        <v>607</v>
      </c>
    </row>
    <row r="253" spans="1:22">
      <c r="A253">
        <v>26</v>
      </c>
      <c r="B253" s="111">
        <v>46064</v>
      </c>
      <c r="C253" s="453">
        <v>46064.625</v>
      </c>
      <c r="D253" s="453">
        <v>46064.833333333336</v>
      </c>
      <c r="E253" s="453">
        <v>46064.958333333336</v>
      </c>
      <c r="F253" s="453">
        <v>46065</v>
      </c>
      <c r="G253" s="453">
        <v>46065.166666666664</v>
      </c>
      <c r="H253" t="s">
        <v>111</v>
      </c>
      <c r="I253" t="s">
        <v>172</v>
      </c>
      <c r="J253" t="s">
        <v>107</v>
      </c>
      <c r="M253" t="s">
        <v>1</v>
      </c>
      <c r="N253">
        <v>0</v>
      </c>
      <c r="O253">
        <v>0</v>
      </c>
      <c r="P253">
        <v>0</v>
      </c>
      <c r="Q253">
        <v>0</v>
      </c>
      <c r="R253">
        <v>0</v>
      </c>
      <c r="S253" s="453">
        <v>45827.020833333336</v>
      </c>
      <c r="T253" t="s">
        <v>41</v>
      </c>
      <c r="U253" t="s">
        <v>445</v>
      </c>
      <c r="V253" t="s">
        <v>607</v>
      </c>
    </row>
    <row r="254" spans="1:22">
      <c r="A254">
        <v>26</v>
      </c>
      <c r="B254" s="111">
        <v>46064</v>
      </c>
      <c r="C254" s="453">
        <v>46064.625</v>
      </c>
      <c r="D254" s="453">
        <v>46064.833333333336</v>
      </c>
      <c r="E254" s="453">
        <v>46064.958333333336</v>
      </c>
      <c r="F254" s="453">
        <v>46065</v>
      </c>
      <c r="G254" s="453">
        <v>46065.166666666664</v>
      </c>
      <c r="H254" t="s">
        <v>538</v>
      </c>
      <c r="I254" t="s">
        <v>51</v>
      </c>
      <c r="J254" t="s">
        <v>6</v>
      </c>
      <c r="M254" t="s">
        <v>444</v>
      </c>
      <c r="N254">
        <v>0</v>
      </c>
      <c r="O254">
        <v>0</v>
      </c>
      <c r="P254">
        <v>0</v>
      </c>
      <c r="Q254">
        <v>0</v>
      </c>
      <c r="R254">
        <v>0</v>
      </c>
      <c r="S254" s="453">
        <v>45827.020833333336</v>
      </c>
      <c r="T254" t="s">
        <v>41</v>
      </c>
      <c r="U254" t="s">
        <v>445</v>
      </c>
      <c r="V254" t="s">
        <v>607</v>
      </c>
    </row>
    <row r="255" spans="1:22">
      <c r="A255">
        <v>26</v>
      </c>
      <c r="B255" s="111">
        <v>46064</v>
      </c>
      <c r="C255" s="453">
        <v>46064.625</v>
      </c>
      <c r="D255" s="453">
        <v>46064.833333333336</v>
      </c>
      <c r="E255" s="453">
        <v>46064.958333333336</v>
      </c>
      <c r="F255" s="453">
        <v>46065</v>
      </c>
      <c r="G255" s="453">
        <v>46065.166666666664</v>
      </c>
      <c r="H255" t="s">
        <v>494</v>
      </c>
      <c r="I255" t="s">
        <v>44</v>
      </c>
      <c r="J255" t="s">
        <v>7</v>
      </c>
      <c r="M255" t="s">
        <v>5</v>
      </c>
      <c r="N255">
        <v>0</v>
      </c>
      <c r="O255">
        <v>0</v>
      </c>
      <c r="P255">
        <v>0</v>
      </c>
      <c r="Q255">
        <v>0</v>
      </c>
      <c r="R255">
        <v>0</v>
      </c>
      <c r="S255" s="453">
        <v>45827.020833333336</v>
      </c>
      <c r="T255" t="s">
        <v>41</v>
      </c>
      <c r="U255" t="s">
        <v>445</v>
      </c>
      <c r="V255" t="s">
        <v>607</v>
      </c>
    </row>
    <row r="256" spans="1:22">
      <c r="A256">
        <v>26</v>
      </c>
      <c r="B256" s="111">
        <v>46064</v>
      </c>
      <c r="C256" s="453">
        <v>46064.625</v>
      </c>
      <c r="D256" s="453">
        <v>46064.833333333336</v>
      </c>
      <c r="E256" s="453">
        <v>46064.958333333336</v>
      </c>
      <c r="F256" s="453">
        <v>46065</v>
      </c>
      <c r="G256" s="453">
        <v>46065.166666666664</v>
      </c>
      <c r="H256" t="s">
        <v>231</v>
      </c>
      <c r="I256" t="s">
        <v>452</v>
      </c>
      <c r="J256" t="s">
        <v>8</v>
      </c>
      <c r="M256" t="s">
        <v>3</v>
      </c>
      <c r="N256">
        <v>0</v>
      </c>
      <c r="O256">
        <v>0</v>
      </c>
      <c r="P256">
        <v>0</v>
      </c>
      <c r="Q256">
        <v>0</v>
      </c>
      <c r="R256">
        <v>0</v>
      </c>
      <c r="S256" s="453">
        <v>45827.020833333336</v>
      </c>
      <c r="T256" t="s">
        <v>41</v>
      </c>
      <c r="U256" t="s">
        <v>445</v>
      </c>
      <c r="V256" t="s">
        <v>607</v>
      </c>
    </row>
    <row r="257" spans="1:22">
      <c r="A257">
        <v>26</v>
      </c>
      <c r="B257" s="111">
        <v>46064</v>
      </c>
      <c r="C257" s="453">
        <v>46064.625</v>
      </c>
      <c r="D257" s="453">
        <v>46064.833333333336</v>
      </c>
      <c r="E257" s="453">
        <v>46064.958333333336</v>
      </c>
      <c r="F257" s="453">
        <v>46065</v>
      </c>
      <c r="G257" s="453">
        <v>46065.166666666664</v>
      </c>
      <c r="H257" t="s">
        <v>257</v>
      </c>
      <c r="I257" t="s">
        <v>50</v>
      </c>
      <c r="J257" t="s">
        <v>10</v>
      </c>
      <c r="M257" t="s">
        <v>108</v>
      </c>
      <c r="N257">
        <v>0</v>
      </c>
      <c r="O257">
        <v>0</v>
      </c>
      <c r="P257">
        <v>0</v>
      </c>
      <c r="Q257">
        <v>0</v>
      </c>
      <c r="R257">
        <v>0</v>
      </c>
      <c r="S257" s="453">
        <v>45827.020833333336</v>
      </c>
      <c r="T257" t="s">
        <v>41</v>
      </c>
      <c r="U257" t="s">
        <v>445</v>
      </c>
      <c r="V257" t="s">
        <v>607</v>
      </c>
    </row>
    <row r="258" spans="1:22">
      <c r="A258">
        <v>26</v>
      </c>
      <c r="B258" s="111">
        <v>46064</v>
      </c>
      <c r="C258" s="453">
        <v>46064.625</v>
      </c>
      <c r="D258" s="453">
        <v>46064.833333333336</v>
      </c>
      <c r="E258" s="453">
        <v>46064.958333333336</v>
      </c>
      <c r="F258" s="453">
        <v>46065</v>
      </c>
      <c r="G258" s="453">
        <v>46065.166666666664</v>
      </c>
      <c r="H258" t="s">
        <v>232</v>
      </c>
      <c r="I258" t="s">
        <v>158</v>
      </c>
      <c r="J258" t="s">
        <v>188</v>
      </c>
      <c r="M258" t="s">
        <v>15</v>
      </c>
      <c r="N258">
        <v>0</v>
      </c>
      <c r="O258">
        <v>0</v>
      </c>
      <c r="P258">
        <v>0</v>
      </c>
      <c r="Q258">
        <v>0</v>
      </c>
      <c r="R258">
        <v>0</v>
      </c>
      <c r="S258" s="453">
        <v>45827.020833333336</v>
      </c>
      <c r="T258" t="s">
        <v>41</v>
      </c>
      <c r="U258" t="s">
        <v>445</v>
      </c>
      <c r="V258" t="s">
        <v>607</v>
      </c>
    </row>
    <row r="259" spans="1:22">
      <c r="A259">
        <v>26</v>
      </c>
      <c r="B259" s="111">
        <v>46064</v>
      </c>
      <c r="C259" s="453">
        <v>46064.625</v>
      </c>
      <c r="D259" s="453">
        <v>46064.833333333336</v>
      </c>
      <c r="E259" s="453">
        <v>46064.958333333336</v>
      </c>
      <c r="F259" s="453">
        <v>46065</v>
      </c>
      <c r="G259" s="453">
        <v>46065.166666666664</v>
      </c>
      <c r="H259" t="s">
        <v>327</v>
      </c>
      <c r="I259" t="s">
        <v>45</v>
      </c>
      <c r="J259" t="s">
        <v>13</v>
      </c>
      <c r="M259" t="s">
        <v>12</v>
      </c>
      <c r="N259">
        <v>0</v>
      </c>
      <c r="O259">
        <v>0</v>
      </c>
      <c r="P259">
        <v>0</v>
      </c>
      <c r="Q259">
        <v>0</v>
      </c>
      <c r="R259">
        <v>0</v>
      </c>
      <c r="S259" s="453">
        <v>45827.020833333336</v>
      </c>
      <c r="T259" t="s">
        <v>41</v>
      </c>
      <c r="U259" t="s">
        <v>445</v>
      </c>
      <c r="V259" t="s">
        <v>607</v>
      </c>
    </row>
    <row r="260" spans="1:22">
      <c r="A260">
        <v>26</v>
      </c>
      <c r="B260" s="111">
        <v>46064</v>
      </c>
      <c r="C260" s="453">
        <v>46064.625</v>
      </c>
      <c r="D260" s="453">
        <v>46064.833333333336</v>
      </c>
      <c r="E260" s="453">
        <v>46064.958333333336</v>
      </c>
      <c r="F260" s="453">
        <v>46065</v>
      </c>
      <c r="G260" s="453">
        <v>46065.166666666664</v>
      </c>
      <c r="H260" t="s">
        <v>495</v>
      </c>
      <c r="I260" t="s">
        <v>448</v>
      </c>
      <c r="J260" t="s">
        <v>443</v>
      </c>
      <c r="M260" t="s">
        <v>9</v>
      </c>
      <c r="N260">
        <v>0</v>
      </c>
      <c r="O260">
        <v>0</v>
      </c>
      <c r="P260">
        <v>0</v>
      </c>
      <c r="Q260">
        <v>0</v>
      </c>
      <c r="R260">
        <v>0</v>
      </c>
      <c r="S260" s="453">
        <v>45827.020833333336</v>
      </c>
      <c r="T260" t="s">
        <v>41</v>
      </c>
      <c r="U260" t="s">
        <v>445</v>
      </c>
      <c r="V260" t="s">
        <v>607</v>
      </c>
    </row>
    <row r="261" spans="1:22">
      <c r="A261">
        <v>26</v>
      </c>
      <c r="B261" s="111">
        <v>46064</v>
      </c>
      <c r="C261" s="453">
        <v>46064.625</v>
      </c>
      <c r="D261" s="453">
        <v>46064.833333333336</v>
      </c>
      <c r="E261" s="453">
        <v>46064.958333333336</v>
      </c>
      <c r="F261" s="453">
        <v>46065</v>
      </c>
      <c r="G261" s="453">
        <v>46065.166666666664</v>
      </c>
      <c r="H261" t="s">
        <v>272</v>
      </c>
      <c r="I261" t="s">
        <v>42</v>
      </c>
      <c r="J261" t="s">
        <v>14</v>
      </c>
      <c r="M261" t="s">
        <v>11</v>
      </c>
      <c r="N261">
        <v>0</v>
      </c>
      <c r="O261">
        <v>0</v>
      </c>
      <c r="P261">
        <v>0</v>
      </c>
      <c r="Q261">
        <v>0</v>
      </c>
      <c r="R261">
        <v>0</v>
      </c>
      <c r="S261" s="453">
        <v>45827.020833333336</v>
      </c>
      <c r="T261" t="s">
        <v>41</v>
      </c>
      <c r="U261" t="s">
        <v>445</v>
      </c>
      <c r="V261" t="s">
        <v>607</v>
      </c>
    </row>
    <row r="262" spans="1:22">
      <c r="A262">
        <v>27</v>
      </c>
      <c r="B262" s="111">
        <v>46074</v>
      </c>
      <c r="C262" s="453">
        <v>46074.416666666664</v>
      </c>
      <c r="D262" s="453">
        <v>46074.625</v>
      </c>
      <c r="E262" s="453">
        <v>46074.75</v>
      </c>
      <c r="F262" s="453">
        <v>46074.791666666664</v>
      </c>
      <c r="G262" s="453">
        <v>46074.958333333336</v>
      </c>
      <c r="H262" t="s">
        <v>539</v>
      </c>
      <c r="I262" t="s">
        <v>49</v>
      </c>
      <c r="J262" t="s">
        <v>2</v>
      </c>
      <c r="M262" t="s">
        <v>444</v>
      </c>
      <c r="N262">
        <v>0</v>
      </c>
      <c r="O262">
        <v>0</v>
      </c>
      <c r="P262">
        <v>0</v>
      </c>
      <c r="Q262">
        <v>0</v>
      </c>
      <c r="R262">
        <v>0</v>
      </c>
      <c r="S262" s="453">
        <v>45827.020833333336</v>
      </c>
      <c r="T262" t="s">
        <v>41</v>
      </c>
      <c r="U262" t="s">
        <v>445</v>
      </c>
      <c r="V262" t="s">
        <v>607</v>
      </c>
    </row>
    <row r="263" spans="1:22">
      <c r="A263">
        <v>27</v>
      </c>
      <c r="B263" s="111">
        <v>46074</v>
      </c>
      <c r="C263" s="453">
        <v>46074.416666666664</v>
      </c>
      <c r="D263" s="453">
        <v>46074.625</v>
      </c>
      <c r="E263" s="453">
        <v>46074.75</v>
      </c>
      <c r="F263" s="453">
        <v>46074.791666666664</v>
      </c>
      <c r="G263" s="453">
        <v>46074.958333333336</v>
      </c>
      <c r="H263" t="s">
        <v>401</v>
      </c>
      <c r="I263" t="s">
        <v>172</v>
      </c>
      <c r="J263" t="s">
        <v>107</v>
      </c>
      <c r="M263" t="s">
        <v>4</v>
      </c>
      <c r="N263">
        <v>0</v>
      </c>
      <c r="O263">
        <v>0</v>
      </c>
      <c r="P263">
        <v>0</v>
      </c>
      <c r="Q263">
        <v>0</v>
      </c>
      <c r="R263">
        <v>0</v>
      </c>
      <c r="S263" s="453">
        <v>45827.020833333336</v>
      </c>
      <c r="T263" t="s">
        <v>41</v>
      </c>
      <c r="U263" t="s">
        <v>445</v>
      </c>
      <c r="V263" t="s">
        <v>607</v>
      </c>
    </row>
    <row r="264" spans="1:22">
      <c r="A264">
        <v>27</v>
      </c>
      <c r="B264" s="111">
        <v>46074</v>
      </c>
      <c r="C264" s="453">
        <v>46074.416666666664</v>
      </c>
      <c r="D264" s="453">
        <v>46074.625</v>
      </c>
      <c r="E264" s="453">
        <v>46074.75</v>
      </c>
      <c r="F264" s="453">
        <v>46074.791666666664</v>
      </c>
      <c r="G264" s="453">
        <v>46074.958333333336</v>
      </c>
      <c r="H264" t="s">
        <v>496</v>
      </c>
      <c r="I264" t="s">
        <v>51</v>
      </c>
      <c r="J264" t="s">
        <v>6</v>
      </c>
      <c r="M264" t="s">
        <v>5</v>
      </c>
      <c r="N264">
        <v>0</v>
      </c>
      <c r="O264">
        <v>0</v>
      </c>
      <c r="P264">
        <v>0</v>
      </c>
      <c r="Q264">
        <v>0</v>
      </c>
      <c r="R264">
        <v>0</v>
      </c>
      <c r="S264" s="453">
        <v>45827.020833333336</v>
      </c>
      <c r="T264" t="s">
        <v>41</v>
      </c>
      <c r="U264" t="s">
        <v>445</v>
      </c>
      <c r="V264" t="s">
        <v>607</v>
      </c>
    </row>
    <row r="265" spans="1:22">
      <c r="A265">
        <v>27</v>
      </c>
      <c r="B265" s="111">
        <v>46074</v>
      </c>
      <c r="C265" s="453">
        <v>46074.416666666664</v>
      </c>
      <c r="D265" s="453">
        <v>46074.625</v>
      </c>
      <c r="E265" s="453">
        <v>46074.75</v>
      </c>
      <c r="F265" s="453">
        <v>46074.791666666664</v>
      </c>
      <c r="G265" s="453">
        <v>46074.958333333336</v>
      </c>
      <c r="H265" t="s">
        <v>426</v>
      </c>
      <c r="I265" t="s">
        <v>44</v>
      </c>
      <c r="J265" t="s">
        <v>7</v>
      </c>
      <c r="M265" t="s">
        <v>15</v>
      </c>
      <c r="N265">
        <v>0</v>
      </c>
      <c r="O265">
        <v>0</v>
      </c>
      <c r="P265">
        <v>0</v>
      </c>
      <c r="Q265">
        <v>0</v>
      </c>
      <c r="R265">
        <v>0</v>
      </c>
      <c r="S265" s="453">
        <v>45827.020833333336</v>
      </c>
      <c r="T265" t="s">
        <v>41</v>
      </c>
      <c r="U265" t="s">
        <v>445</v>
      </c>
      <c r="V265" t="s">
        <v>607</v>
      </c>
    </row>
    <row r="266" spans="1:22">
      <c r="A266">
        <v>27</v>
      </c>
      <c r="B266" s="111">
        <v>46074</v>
      </c>
      <c r="C266" s="453">
        <v>46074.416666666664</v>
      </c>
      <c r="D266" s="453">
        <v>46074.625</v>
      </c>
      <c r="E266" s="453">
        <v>46074.75</v>
      </c>
      <c r="F266" s="453">
        <v>46074.791666666664</v>
      </c>
      <c r="G266" s="453">
        <v>46074.958333333336</v>
      </c>
      <c r="H266" t="s">
        <v>366</v>
      </c>
      <c r="I266" t="s">
        <v>452</v>
      </c>
      <c r="J266" t="s">
        <v>8</v>
      </c>
      <c r="M266" t="s">
        <v>11</v>
      </c>
      <c r="N266">
        <v>0</v>
      </c>
      <c r="O266">
        <v>0</v>
      </c>
      <c r="P266">
        <v>0</v>
      </c>
      <c r="Q266">
        <v>0</v>
      </c>
      <c r="R266">
        <v>0</v>
      </c>
      <c r="S266" s="453">
        <v>45827.020833333336</v>
      </c>
      <c r="T266" t="s">
        <v>41</v>
      </c>
      <c r="U266" t="s">
        <v>445</v>
      </c>
      <c r="V266" t="s">
        <v>607</v>
      </c>
    </row>
    <row r="267" spans="1:22">
      <c r="A267">
        <v>27</v>
      </c>
      <c r="B267" s="111">
        <v>46074</v>
      </c>
      <c r="C267" s="453">
        <v>46074.416666666664</v>
      </c>
      <c r="D267" s="453">
        <v>46074.625</v>
      </c>
      <c r="E267" s="453">
        <v>46074.75</v>
      </c>
      <c r="F267" s="453">
        <v>46074.791666666664</v>
      </c>
      <c r="G267" s="453">
        <v>46074.958333333336</v>
      </c>
      <c r="H267" t="s">
        <v>361</v>
      </c>
      <c r="I267" t="s">
        <v>50</v>
      </c>
      <c r="J267" t="s">
        <v>10</v>
      </c>
      <c r="M267" t="s">
        <v>12</v>
      </c>
      <c r="N267">
        <v>0</v>
      </c>
      <c r="O267">
        <v>0</v>
      </c>
      <c r="P267">
        <v>0</v>
      </c>
      <c r="Q267">
        <v>0</v>
      </c>
      <c r="R267">
        <v>0</v>
      </c>
      <c r="S267" s="453">
        <v>45827.020833333336</v>
      </c>
      <c r="T267" t="s">
        <v>41</v>
      </c>
      <c r="U267" t="s">
        <v>445</v>
      </c>
      <c r="V267" t="s">
        <v>607</v>
      </c>
    </row>
    <row r="268" spans="1:22">
      <c r="A268">
        <v>27</v>
      </c>
      <c r="B268" s="111">
        <v>46074</v>
      </c>
      <c r="C268" s="453">
        <v>46074.416666666664</v>
      </c>
      <c r="D268" s="453">
        <v>46074.625</v>
      </c>
      <c r="E268" s="453">
        <v>46074.75</v>
      </c>
      <c r="F268" s="453">
        <v>46074.791666666664</v>
      </c>
      <c r="G268" s="453">
        <v>46074.958333333336</v>
      </c>
      <c r="H268" t="s">
        <v>336</v>
      </c>
      <c r="I268" t="s">
        <v>158</v>
      </c>
      <c r="J268" t="s">
        <v>188</v>
      </c>
      <c r="M268" t="s">
        <v>9</v>
      </c>
      <c r="N268">
        <v>0</v>
      </c>
      <c r="O268">
        <v>0</v>
      </c>
      <c r="P268">
        <v>0</v>
      </c>
      <c r="Q268">
        <v>0</v>
      </c>
      <c r="R268">
        <v>0</v>
      </c>
      <c r="S268" s="453">
        <v>45827.020833333336</v>
      </c>
      <c r="T268" t="s">
        <v>41</v>
      </c>
      <c r="U268" t="s">
        <v>445</v>
      </c>
      <c r="V268" t="s">
        <v>607</v>
      </c>
    </row>
    <row r="269" spans="1:22">
      <c r="A269">
        <v>27</v>
      </c>
      <c r="B269" s="111">
        <v>46074</v>
      </c>
      <c r="C269" s="453">
        <v>46074.416666666664</v>
      </c>
      <c r="D269" s="453">
        <v>46074.625</v>
      </c>
      <c r="E269" s="453">
        <v>46074.75</v>
      </c>
      <c r="F269" s="453">
        <v>46074.791666666664</v>
      </c>
      <c r="G269" s="453">
        <v>46074.958333333336</v>
      </c>
      <c r="H269" t="s">
        <v>240</v>
      </c>
      <c r="I269" t="s">
        <v>45</v>
      </c>
      <c r="J269" t="s">
        <v>13</v>
      </c>
      <c r="M269" t="s">
        <v>1</v>
      </c>
      <c r="N269">
        <v>0</v>
      </c>
      <c r="O269">
        <v>0</v>
      </c>
      <c r="P269">
        <v>0</v>
      </c>
      <c r="Q269">
        <v>0</v>
      </c>
      <c r="R269">
        <v>0</v>
      </c>
      <c r="S269" s="453">
        <v>45827.020833333336</v>
      </c>
      <c r="T269" t="s">
        <v>41</v>
      </c>
      <c r="U269" t="s">
        <v>445</v>
      </c>
      <c r="V269" t="s">
        <v>607</v>
      </c>
    </row>
    <row r="270" spans="1:22">
      <c r="A270">
        <v>27</v>
      </c>
      <c r="B270" s="111">
        <v>46074</v>
      </c>
      <c r="C270" s="453">
        <v>46074.416666666664</v>
      </c>
      <c r="D270" s="453">
        <v>46074.625</v>
      </c>
      <c r="E270" s="453">
        <v>46074.75</v>
      </c>
      <c r="F270" s="453">
        <v>46074.791666666664</v>
      </c>
      <c r="G270" s="453">
        <v>46074.958333333336</v>
      </c>
      <c r="H270" t="s">
        <v>497</v>
      </c>
      <c r="I270" t="s">
        <v>448</v>
      </c>
      <c r="J270" t="s">
        <v>443</v>
      </c>
      <c r="M270" t="s">
        <v>108</v>
      </c>
      <c r="N270">
        <v>0</v>
      </c>
      <c r="O270">
        <v>0</v>
      </c>
      <c r="P270">
        <v>0</v>
      </c>
      <c r="Q270">
        <v>0</v>
      </c>
      <c r="R270">
        <v>0</v>
      </c>
      <c r="S270" s="453">
        <v>45827.020833333336</v>
      </c>
      <c r="T270" t="s">
        <v>41</v>
      </c>
      <c r="U270" t="s">
        <v>445</v>
      </c>
      <c r="V270" t="s">
        <v>607</v>
      </c>
    </row>
    <row r="271" spans="1:22">
      <c r="A271">
        <v>27</v>
      </c>
      <c r="B271" s="111">
        <v>46074</v>
      </c>
      <c r="C271" s="453">
        <v>46074.416666666664</v>
      </c>
      <c r="D271" s="453">
        <v>46074.625</v>
      </c>
      <c r="E271" s="453">
        <v>46074.75</v>
      </c>
      <c r="F271" s="453">
        <v>46074.791666666664</v>
      </c>
      <c r="G271" s="453">
        <v>46074.958333333336</v>
      </c>
      <c r="H271" t="s">
        <v>393</v>
      </c>
      <c r="I271" t="s">
        <v>42</v>
      </c>
      <c r="J271" t="s">
        <v>14</v>
      </c>
      <c r="M271" t="s">
        <v>3</v>
      </c>
      <c r="N271">
        <v>0</v>
      </c>
      <c r="O271">
        <v>0</v>
      </c>
      <c r="P271">
        <v>0</v>
      </c>
      <c r="Q271">
        <v>0</v>
      </c>
      <c r="R271">
        <v>0</v>
      </c>
      <c r="S271" s="453">
        <v>45827.020833333336</v>
      </c>
      <c r="T271" t="s">
        <v>41</v>
      </c>
      <c r="U271" t="s">
        <v>445</v>
      </c>
      <c r="V271" t="s">
        <v>607</v>
      </c>
    </row>
    <row r="272" spans="1:22">
      <c r="A272">
        <v>28</v>
      </c>
      <c r="B272" s="111">
        <v>46081</v>
      </c>
      <c r="C272" s="453">
        <v>46081.416666666664</v>
      </c>
      <c r="D272" s="453">
        <v>46081.625</v>
      </c>
      <c r="E272" s="453">
        <v>46081.75</v>
      </c>
      <c r="F272" s="453">
        <v>46081.791666666664</v>
      </c>
      <c r="G272" s="453">
        <v>46081.958333333336</v>
      </c>
      <c r="H272" t="s">
        <v>114</v>
      </c>
      <c r="I272" t="s">
        <v>48</v>
      </c>
      <c r="J272" t="s">
        <v>1</v>
      </c>
      <c r="M272" t="s">
        <v>6</v>
      </c>
      <c r="N272">
        <v>0</v>
      </c>
      <c r="O272">
        <v>0</v>
      </c>
      <c r="P272">
        <v>0</v>
      </c>
      <c r="Q272">
        <v>0</v>
      </c>
      <c r="R272">
        <v>0</v>
      </c>
      <c r="S272" s="453">
        <v>45827.021527777775</v>
      </c>
      <c r="T272" t="s">
        <v>41</v>
      </c>
      <c r="U272" t="s">
        <v>445</v>
      </c>
      <c r="V272" t="s">
        <v>607</v>
      </c>
    </row>
    <row r="273" spans="1:22">
      <c r="A273">
        <v>28</v>
      </c>
      <c r="B273" s="111">
        <v>46081</v>
      </c>
      <c r="C273" s="453">
        <v>46081.416666666664</v>
      </c>
      <c r="D273" s="453">
        <v>46081.625</v>
      </c>
      <c r="E273" s="453">
        <v>46081.75</v>
      </c>
      <c r="F273" s="453">
        <v>46081.791666666664</v>
      </c>
      <c r="G273" s="453">
        <v>46081.958333333336</v>
      </c>
      <c r="H273" t="s">
        <v>498</v>
      </c>
      <c r="I273" t="s">
        <v>43</v>
      </c>
      <c r="J273" t="s">
        <v>3</v>
      </c>
      <c r="M273" t="s">
        <v>443</v>
      </c>
      <c r="N273">
        <v>0</v>
      </c>
      <c r="O273">
        <v>0</v>
      </c>
      <c r="P273">
        <v>0</v>
      </c>
      <c r="Q273">
        <v>0</v>
      </c>
      <c r="R273">
        <v>0</v>
      </c>
      <c r="S273" s="453">
        <v>45827.021527777775</v>
      </c>
      <c r="T273" t="s">
        <v>41</v>
      </c>
      <c r="U273" t="s">
        <v>445</v>
      </c>
      <c r="V273" t="s">
        <v>607</v>
      </c>
    </row>
    <row r="274" spans="1:22">
      <c r="A274">
        <v>28</v>
      </c>
      <c r="B274" s="111">
        <v>46081</v>
      </c>
      <c r="C274" s="453">
        <v>46081.416666666664</v>
      </c>
      <c r="D274" s="453">
        <v>46081.625</v>
      </c>
      <c r="E274" s="453">
        <v>46081.75</v>
      </c>
      <c r="F274" s="453">
        <v>46081.791666666664</v>
      </c>
      <c r="G274" s="453">
        <v>46081.958333333336</v>
      </c>
      <c r="H274" t="s">
        <v>248</v>
      </c>
      <c r="I274" t="s">
        <v>217</v>
      </c>
      <c r="J274" t="s">
        <v>4</v>
      </c>
      <c r="M274" t="s">
        <v>188</v>
      </c>
      <c r="N274">
        <v>0</v>
      </c>
      <c r="O274">
        <v>0</v>
      </c>
      <c r="P274">
        <v>0</v>
      </c>
      <c r="Q274">
        <v>0</v>
      </c>
      <c r="R274">
        <v>0</v>
      </c>
      <c r="S274" s="453">
        <v>45827.021527777775</v>
      </c>
      <c r="T274" t="s">
        <v>41</v>
      </c>
      <c r="U274" t="s">
        <v>445</v>
      </c>
      <c r="V274" t="s">
        <v>607</v>
      </c>
    </row>
    <row r="275" spans="1:22">
      <c r="A275">
        <v>28</v>
      </c>
      <c r="B275" s="111">
        <v>46081</v>
      </c>
      <c r="C275" s="453">
        <v>46081.416666666664</v>
      </c>
      <c r="D275" s="453">
        <v>46081.625</v>
      </c>
      <c r="E275" s="453">
        <v>46081.75</v>
      </c>
      <c r="F275" s="453">
        <v>46081.791666666664</v>
      </c>
      <c r="G275" s="453">
        <v>46081.958333333336</v>
      </c>
      <c r="H275" t="s">
        <v>499</v>
      </c>
      <c r="I275" t="s">
        <v>451</v>
      </c>
      <c r="J275" t="s">
        <v>5</v>
      </c>
      <c r="M275" t="s">
        <v>107</v>
      </c>
      <c r="N275">
        <v>0</v>
      </c>
      <c r="O275">
        <v>0</v>
      </c>
      <c r="P275">
        <v>0</v>
      </c>
      <c r="Q275">
        <v>0</v>
      </c>
      <c r="R275">
        <v>0</v>
      </c>
      <c r="S275" s="453">
        <v>45827.021527777775</v>
      </c>
      <c r="T275" t="s">
        <v>41</v>
      </c>
      <c r="U275" t="s">
        <v>445</v>
      </c>
      <c r="V275" t="s">
        <v>607</v>
      </c>
    </row>
    <row r="276" spans="1:22">
      <c r="A276">
        <v>28</v>
      </c>
      <c r="B276" s="111">
        <v>46081</v>
      </c>
      <c r="C276" s="453">
        <v>46081.416666666664</v>
      </c>
      <c r="D276" s="453">
        <v>46081.625</v>
      </c>
      <c r="E276" s="453">
        <v>46081.75</v>
      </c>
      <c r="F276" s="453">
        <v>46081.791666666664</v>
      </c>
      <c r="G276" s="453">
        <v>46081.958333333336</v>
      </c>
      <c r="H276" t="s">
        <v>382</v>
      </c>
      <c r="I276" t="s">
        <v>157</v>
      </c>
      <c r="J276" t="s">
        <v>108</v>
      </c>
      <c r="M276" t="s">
        <v>13</v>
      </c>
      <c r="N276">
        <v>0</v>
      </c>
      <c r="O276">
        <v>0</v>
      </c>
      <c r="P276">
        <v>0</v>
      </c>
      <c r="Q276">
        <v>0</v>
      </c>
      <c r="R276">
        <v>0</v>
      </c>
      <c r="S276" s="453">
        <v>45827.021527777775</v>
      </c>
      <c r="T276" t="s">
        <v>41</v>
      </c>
      <c r="U276" t="s">
        <v>445</v>
      </c>
      <c r="V276" t="s">
        <v>607</v>
      </c>
    </row>
    <row r="277" spans="1:22">
      <c r="A277">
        <v>28</v>
      </c>
      <c r="B277" s="111">
        <v>46081</v>
      </c>
      <c r="C277" s="453">
        <v>46081.416666666664</v>
      </c>
      <c r="D277" s="453">
        <v>46081.625</v>
      </c>
      <c r="E277" s="453">
        <v>46081.75</v>
      </c>
      <c r="F277" s="453">
        <v>46081.791666666664</v>
      </c>
      <c r="G277" s="453">
        <v>46081.958333333336</v>
      </c>
      <c r="H277" t="s">
        <v>540</v>
      </c>
      <c r="I277" t="s">
        <v>449</v>
      </c>
      <c r="J277" t="s">
        <v>444</v>
      </c>
      <c r="M277" t="s">
        <v>10</v>
      </c>
      <c r="N277">
        <v>0</v>
      </c>
      <c r="O277">
        <v>0</v>
      </c>
      <c r="P277">
        <v>0</v>
      </c>
      <c r="Q277">
        <v>0</v>
      </c>
      <c r="R277">
        <v>0</v>
      </c>
      <c r="S277" s="453">
        <v>45827.021527777775</v>
      </c>
      <c r="T277" t="s">
        <v>41</v>
      </c>
      <c r="U277" t="s">
        <v>445</v>
      </c>
      <c r="V277" t="s">
        <v>607</v>
      </c>
    </row>
    <row r="278" spans="1:22">
      <c r="A278">
        <v>28</v>
      </c>
      <c r="B278" s="111">
        <v>46081</v>
      </c>
      <c r="C278" s="453">
        <v>46081.416666666664</v>
      </c>
      <c r="D278" s="453">
        <v>46081.625</v>
      </c>
      <c r="E278" s="453">
        <v>46081.75</v>
      </c>
      <c r="F278" s="453">
        <v>46081.791666666664</v>
      </c>
      <c r="G278" s="453">
        <v>46081.958333333336</v>
      </c>
      <c r="H278" t="s">
        <v>395</v>
      </c>
      <c r="I278" t="s">
        <v>40</v>
      </c>
      <c r="J278" t="s">
        <v>9</v>
      </c>
      <c r="M278" t="s">
        <v>14</v>
      </c>
      <c r="N278">
        <v>0</v>
      </c>
      <c r="O278">
        <v>0</v>
      </c>
      <c r="P278">
        <v>0</v>
      </c>
      <c r="Q278">
        <v>0</v>
      </c>
      <c r="R278">
        <v>0</v>
      </c>
      <c r="S278" s="453">
        <v>45827.021527777775</v>
      </c>
      <c r="T278" t="s">
        <v>41</v>
      </c>
      <c r="U278" t="s">
        <v>445</v>
      </c>
      <c r="V278" t="s">
        <v>607</v>
      </c>
    </row>
    <row r="279" spans="1:22">
      <c r="A279">
        <v>28</v>
      </c>
      <c r="B279" s="111">
        <v>46081</v>
      </c>
      <c r="C279" s="453">
        <v>46081.416666666664</v>
      </c>
      <c r="D279" s="453">
        <v>46081.625</v>
      </c>
      <c r="E279" s="453">
        <v>46081.75</v>
      </c>
      <c r="F279" s="453">
        <v>46081.791666666664</v>
      </c>
      <c r="G279" s="453">
        <v>46081.958333333336</v>
      </c>
      <c r="H279" t="s">
        <v>354</v>
      </c>
      <c r="I279" t="s">
        <v>47</v>
      </c>
      <c r="J279" t="s">
        <v>11</v>
      </c>
      <c r="M279" t="s">
        <v>7</v>
      </c>
      <c r="N279">
        <v>0</v>
      </c>
      <c r="O279">
        <v>0</v>
      </c>
      <c r="P279">
        <v>0</v>
      </c>
      <c r="Q279">
        <v>0</v>
      </c>
      <c r="R279">
        <v>0</v>
      </c>
      <c r="S279" s="453">
        <v>45827.021527777775</v>
      </c>
      <c r="T279" t="s">
        <v>41</v>
      </c>
      <c r="U279" t="s">
        <v>445</v>
      </c>
      <c r="V279" t="s">
        <v>607</v>
      </c>
    </row>
    <row r="280" spans="1:22">
      <c r="A280">
        <v>28</v>
      </c>
      <c r="B280" s="111">
        <v>46081</v>
      </c>
      <c r="C280" s="453">
        <v>46081.416666666664</v>
      </c>
      <c r="D280" s="453">
        <v>46081.625</v>
      </c>
      <c r="E280" s="453">
        <v>46081.75</v>
      </c>
      <c r="F280" s="453">
        <v>46081.791666666664</v>
      </c>
      <c r="G280" s="453">
        <v>46081.958333333336</v>
      </c>
      <c r="H280" t="s">
        <v>431</v>
      </c>
      <c r="I280" t="s">
        <v>46</v>
      </c>
      <c r="J280" t="s">
        <v>12</v>
      </c>
      <c r="M280" t="s">
        <v>8</v>
      </c>
      <c r="N280">
        <v>0</v>
      </c>
      <c r="O280">
        <v>0</v>
      </c>
      <c r="P280">
        <v>0</v>
      </c>
      <c r="Q280">
        <v>0</v>
      </c>
      <c r="R280">
        <v>0</v>
      </c>
      <c r="S280" s="453">
        <v>45827.021527777775</v>
      </c>
      <c r="T280" t="s">
        <v>41</v>
      </c>
      <c r="U280" t="s">
        <v>445</v>
      </c>
      <c r="V280" t="s">
        <v>607</v>
      </c>
    </row>
    <row r="281" spans="1:22">
      <c r="A281">
        <v>28</v>
      </c>
      <c r="B281" s="111">
        <v>46081</v>
      </c>
      <c r="C281" s="453">
        <v>46081.416666666664</v>
      </c>
      <c r="D281" s="453">
        <v>46081.625</v>
      </c>
      <c r="E281" s="453">
        <v>46081.75</v>
      </c>
      <c r="F281" s="453">
        <v>46081.791666666664</v>
      </c>
      <c r="G281" s="453">
        <v>46081.958333333336</v>
      </c>
      <c r="H281" t="s">
        <v>357</v>
      </c>
      <c r="I281" t="s">
        <v>52</v>
      </c>
      <c r="J281" t="s">
        <v>15</v>
      </c>
      <c r="M281" t="s">
        <v>2</v>
      </c>
      <c r="N281">
        <v>0</v>
      </c>
      <c r="O281">
        <v>0</v>
      </c>
      <c r="P281">
        <v>0</v>
      </c>
      <c r="Q281">
        <v>0</v>
      </c>
      <c r="R281">
        <v>0</v>
      </c>
      <c r="S281" s="453">
        <v>45827.021527777775</v>
      </c>
      <c r="T281" t="s">
        <v>41</v>
      </c>
      <c r="U281" t="s">
        <v>445</v>
      </c>
      <c r="V281" t="s">
        <v>607</v>
      </c>
    </row>
    <row r="282" spans="1:22">
      <c r="A282">
        <v>29</v>
      </c>
      <c r="B282" s="111">
        <v>46085</v>
      </c>
      <c r="C282" s="453">
        <v>46085.625</v>
      </c>
      <c r="D282" s="453">
        <v>46085.833333333336</v>
      </c>
      <c r="E282" s="453">
        <v>46085.958333333336</v>
      </c>
      <c r="F282" s="453">
        <v>46086</v>
      </c>
      <c r="G282" s="453">
        <v>46086.166666666664</v>
      </c>
      <c r="H282" t="s">
        <v>132</v>
      </c>
      <c r="I282" t="s">
        <v>49</v>
      </c>
      <c r="J282" t="s">
        <v>2</v>
      </c>
      <c r="M282" t="s">
        <v>6</v>
      </c>
      <c r="N282">
        <v>0</v>
      </c>
      <c r="O282">
        <v>0</v>
      </c>
      <c r="P282">
        <v>0</v>
      </c>
      <c r="Q282">
        <v>0</v>
      </c>
      <c r="R282">
        <v>0</v>
      </c>
      <c r="S282" s="453">
        <v>45827.021527777775</v>
      </c>
      <c r="T282" t="s">
        <v>41</v>
      </c>
      <c r="U282" t="s">
        <v>445</v>
      </c>
      <c r="V282" t="s">
        <v>607</v>
      </c>
    </row>
    <row r="283" spans="1:22">
      <c r="A283">
        <v>29</v>
      </c>
      <c r="B283" s="111">
        <v>46085</v>
      </c>
      <c r="C283" s="453">
        <v>46085.625</v>
      </c>
      <c r="D283" s="453">
        <v>46085.833333333336</v>
      </c>
      <c r="E283" s="453">
        <v>46085.958333333336</v>
      </c>
      <c r="F283" s="453">
        <v>46086</v>
      </c>
      <c r="G283" s="453">
        <v>46086.166666666664</v>
      </c>
      <c r="H283" t="s">
        <v>380</v>
      </c>
      <c r="I283" t="s">
        <v>43</v>
      </c>
      <c r="J283" t="s">
        <v>3</v>
      </c>
      <c r="M283" t="s">
        <v>107</v>
      </c>
      <c r="N283">
        <v>0</v>
      </c>
      <c r="O283">
        <v>0</v>
      </c>
      <c r="P283">
        <v>0</v>
      </c>
      <c r="Q283">
        <v>0</v>
      </c>
      <c r="R283">
        <v>0</v>
      </c>
      <c r="S283" s="453">
        <v>45827.021527777775</v>
      </c>
      <c r="T283" t="s">
        <v>41</v>
      </c>
      <c r="U283" t="s">
        <v>445</v>
      </c>
      <c r="V283" t="s">
        <v>607</v>
      </c>
    </row>
    <row r="284" spans="1:22">
      <c r="A284">
        <v>29</v>
      </c>
      <c r="B284" s="111">
        <v>46085</v>
      </c>
      <c r="C284" s="453">
        <v>46085.625</v>
      </c>
      <c r="D284" s="453">
        <v>46085.833333333336</v>
      </c>
      <c r="E284" s="453">
        <v>46085.958333333336</v>
      </c>
      <c r="F284" s="453">
        <v>46086</v>
      </c>
      <c r="G284" s="453">
        <v>46086.166666666664</v>
      </c>
      <c r="H284" t="s">
        <v>330</v>
      </c>
      <c r="I284" t="s">
        <v>217</v>
      </c>
      <c r="J284" t="s">
        <v>4</v>
      </c>
      <c r="M284" t="s">
        <v>1</v>
      </c>
      <c r="N284">
        <v>0</v>
      </c>
      <c r="O284">
        <v>0</v>
      </c>
      <c r="P284">
        <v>0</v>
      </c>
      <c r="Q284">
        <v>0</v>
      </c>
      <c r="R284">
        <v>0</v>
      </c>
      <c r="S284" s="453">
        <v>45827.021527777775</v>
      </c>
      <c r="T284" t="s">
        <v>41</v>
      </c>
      <c r="U284" t="s">
        <v>445</v>
      </c>
      <c r="V284" t="s">
        <v>607</v>
      </c>
    </row>
    <row r="285" spans="1:22">
      <c r="A285">
        <v>29</v>
      </c>
      <c r="B285" s="111">
        <v>46085</v>
      </c>
      <c r="C285" s="453">
        <v>46085.625</v>
      </c>
      <c r="D285" s="453">
        <v>46085.833333333336</v>
      </c>
      <c r="E285" s="453">
        <v>46085.958333333336</v>
      </c>
      <c r="F285" s="453">
        <v>46086</v>
      </c>
      <c r="G285" s="453">
        <v>46086.166666666664</v>
      </c>
      <c r="H285" t="s">
        <v>500</v>
      </c>
      <c r="I285" t="s">
        <v>452</v>
      </c>
      <c r="J285" t="s">
        <v>8</v>
      </c>
      <c r="M285" t="s">
        <v>5</v>
      </c>
      <c r="N285">
        <v>0</v>
      </c>
      <c r="O285">
        <v>0</v>
      </c>
      <c r="P285">
        <v>0</v>
      </c>
      <c r="Q285">
        <v>0</v>
      </c>
      <c r="R285">
        <v>0</v>
      </c>
      <c r="S285" s="453">
        <v>45827.021527777775</v>
      </c>
      <c r="T285" t="s">
        <v>41</v>
      </c>
      <c r="U285" t="s">
        <v>445</v>
      </c>
      <c r="V285" t="s">
        <v>607</v>
      </c>
    </row>
    <row r="286" spans="1:22">
      <c r="A286">
        <v>29</v>
      </c>
      <c r="B286" s="111">
        <v>46085</v>
      </c>
      <c r="C286" s="453">
        <v>46085.625</v>
      </c>
      <c r="D286" s="453">
        <v>46085.833333333336</v>
      </c>
      <c r="E286" s="453">
        <v>46085.958333333336</v>
      </c>
      <c r="F286" s="453">
        <v>46086</v>
      </c>
      <c r="G286" s="453">
        <v>46086.166666666664</v>
      </c>
      <c r="H286" t="s">
        <v>236</v>
      </c>
      <c r="I286" t="s">
        <v>157</v>
      </c>
      <c r="J286" t="s">
        <v>108</v>
      </c>
      <c r="M286" t="s">
        <v>14</v>
      </c>
      <c r="N286">
        <v>0</v>
      </c>
      <c r="O286">
        <v>0</v>
      </c>
      <c r="P286">
        <v>0</v>
      </c>
      <c r="Q286">
        <v>0</v>
      </c>
      <c r="R286">
        <v>0</v>
      </c>
      <c r="S286" s="453">
        <v>45827.021527777775</v>
      </c>
      <c r="T286" t="s">
        <v>41</v>
      </c>
      <c r="U286" t="s">
        <v>445</v>
      </c>
      <c r="V286" t="s">
        <v>607</v>
      </c>
    </row>
    <row r="287" spans="1:22">
      <c r="A287">
        <v>29</v>
      </c>
      <c r="B287" s="111">
        <v>46085</v>
      </c>
      <c r="C287" s="453">
        <v>46085.625</v>
      </c>
      <c r="D287" s="453">
        <v>46085.833333333336</v>
      </c>
      <c r="E287" s="453">
        <v>46085.958333333336</v>
      </c>
      <c r="F287" s="453">
        <v>46086</v>
      </c>
      <c r="G287" s="453">
        <v>46086.166666666664</v>
      </c>
      <c r="H287" t="s">
        <v>541</v>
      </c>
      <c r="I287" t="s">
        <v>449</v>
      </c>
      <c r="J287" t="s">
        <v>444</v>
      </c>
      <c r="M287" t="s">
        <v>443</v>
      </c>
      <c r="N287">
        <v>0</v>
      </c>
      <c r="O287">
        <v>0</v>
      </c>
      <c r="P287">
        <v>0</v>
      </c>
      <c r="Q287">
        <v>0</v>
      </c>
      <c r="R287">
        <v>0</v>
      </c>
      <c r="S287" s="453">
        <v>45827.021527777775</v>
      </c>
      <c r="T287" t="s">
        <v>41</v>
      </c>
      <c r="U287" t="s">
        <v>445</v>
      </c>
      <c r="V287" t="s">
        <v>607</v>
      </c>
    </row>
    <row r="288" spans="1:22">
      <c r="A288">
        <v>29</v>
      </c>
      <c r="B288" s="111">
        <v>46085</v>
      </c>
      <c r="C288" s="453">
        <v>46085.625</v>
      </c>
      <c r="D288" s="453">
        <v>46085.833333333336</v>
      </c>
      <c r="E288" s="453">
        <v>46085.958333333336</v>
      </c>
      <c r="F288" s="453">
        <v>46086</v>
      </c>
      <c r="G288" s="453">
        <v>46086.166666666664</v>
      </c>
      <c r="H288" t="s">
        <v>296</v>
      </c>
      <c r="I288" t="s">
        <v>50</v>
      </c>
      <c r="J288" t="s">
        <v>10</v>
      </c>
      <c r="M288" t="s">
        <v>188</v>
      </c>
      <c r="N288">
        <v>0</v>
      </c>
      <c r="O288">
        <v>0</v>
      </c>
      <c r="P288">
        <v>0</v>
      </c>
      <c r="Q288">
        <v>0</v>
      </c>
      <c r="R288">
        <v>0</v>
      </c>
      <c r="S288" s="453">
        <v>45827.021527777775</v>
      </c>
      <c r="T288" t="s">
        <v>41</v>
      </c>
      <c r="U288" t="s">
        <v>445</v>
      </c>
      <c r="V288" t="s">
        <v>607</v>
      </c>
    </row>
    <row r="289" spans="1:22">
      <c r="A289">
        <v>29</v>
      </c>
      <c r="B289" s="111">
        <v>46085</v>
      </c>
      <c r="C289" s="453">
        <v>46085.625</v>
      </c>
      <c r="D289" s="453">
        <v>46085.833333333336</v>
      </c>
      <c r="E289" s="453">
        <v>46085.958333333336</v>
      </c>
      <c r="F289" s="453">
        <v>46086</v>
      </c>
      <c r="G289" s="453">
        <v>46086.166666666664</v>
      </c>
      <c r="H289" t="s">
        <v>397</v>
      </c>
      <c r="I289" t="s">
        <v>46</v>
      </c>
      <c r="J289" t="s">
        <v>12</v>
      </c>
      <c r="M289" t="s">
        <v>11</v>
      </c>
      <c r="N289">
        <v>0</v>
      </c>
      <c r="O289">
        <v>0</v>
      </c>
      <c r="P289">
        <v>0</v>
      </c>
      <c r="Q289">
        <v>0</v>
      </c>
      <c r="R289">
        <v>0</v>
      </c>
      <c r="S289" s="453">
        <v>45827.021527777775</v>
      </c>
      <c r="T289" t="s">
        <v>41</v>
      </c>
      <c r="U289" t="s">
        <v>445</v>
      </c>
      <c r="V289" t="s">
        <v>607</v>
      </c>
    </row>
    <row r="290" spans="1:22">
      <c r="A290">
        <v>29</v>
      </c>
      <c r="B290" s="111">
        <v>46085</v>
      </c>
      <c r="C290" s="453">
        <v>46085.625</v>
      </c>
      <c r="D290" s="453">
        <v>46085.833333333336</v>
      </c>
      <c r="E290" s="453">
        <v>46085.958333333336</v>
      </c>
      <c r="F290" s="453">
        <v>46086</v>
      </c>
      <c r="G290" s="453">
        <v>46086.166666666664</v>
      </c>
      <c r="H290" t="s">
        <v>420</v>
      </c>
      <c r="I290" t="s">
        <v>45</v>
      </c>
      <c r="J290" t="s">
        <v>13</v>
      </c>
      <c r="M290" t="s">
        <v>7</v>
      </c>
      <c r="N290">
        <v>0</v>
      </c>
      <c r="O290">
        <v>0</v>
      </c>
      <c r="P290">
        <v>0</v>
      </c>
      <c r="Q290">
        <v>0</v>
      </c>
      <c r="R290">
        <v>0</v>
      </c>
      <c r="S290" s="453">
        <v>45827.021527777775</v>
      </c>
      <c r="T290" t="s">
        <v>41</v>
      </c>
      <c r="U290" t="s">
        <v>445</v>
      </c>
      <c r="V290" t="s">
        <v>607</v>
      </c>
    </row>
    <row r="291" spans="1:22">
      <c r="A291">
        <v>29</v>
      </c>
      <c r="B291" s="111">
        <v>46085</v>
      </c>
      <c r="C291" s="453">
        <v>46085.625</v>
      </c>
      <c r="D291" s="453">
        <v>46085.833333333336</v>
      </c>
      <c r="E291" s="453">
        <v>46085.958333333336</v>
      </c>
      <c r="F291" s="453">
        <v>46086</v>
      </c>
      <c r="G291" s="453">
        <v>46086.166666666664</v>
      </c>
      <c r="H291" t="s">
        <v>254</v>
      </c>
      <c r="I291" t="s">
        <v>52</v>
      </c>
      <c r="J291" t="s">
        <v>15</v>
      </c>
      <c r="M291" t="s">
        <v>9</v>
      </c>
      <c r="N291">
        <v>0</v>
      </c>
      <c r="O291">
        <v>0</v>
      </c>
      <c r="P291">
        <v>0</v>
      </c>
      <c r="Q291">
        <v>0</v>
      </c>
      <c r="R291">
        <v>0</v>
      </c>
      <c r="S291" s="453">
        <v>45827.021527777775</v>
      </c>
      <c r="T291" t="s">
        <v>41</v>
      </c>
      <c r="U291" t="s">
        <v>445</v>
      </c>
      <c r="V291" t="s">
        <v>607</v>
      </c>
    </row>
    <row r="292" spans="1:22">
      <c r="A292">
        <v>30</v>
      </c>
      <c r="B292" s="111">
        <v>46095</v>
      </c>
      <c r="C292" s="453">
        <v>46095.458333333336</v>
      </c>
      <c r="D292" s="453">
        <v>46095.625</v>
      </c>
      <c r="E292" s="453">
        <v>46095.75</v>
      </c>
      <c r="F292" s="453">
        <v>46095.791666666664</v>
      </c>
      <c r="G292" s="453">
        <v>46095.958333333336</v>
      </c>
      <c r="H292" t="s">
        <v>152</v>
      </c>
      <c r="I292" t="s">
        <v>48</v>
      </c>
      <c r="J292" t="s">
        <v>1</v>
      </c>
      <c r="M292" t="s">
        <v>8</v>
      </c>
      <c r="N292">
        <v>0</v>
      </c>
      <c r="O292">
        <v>0</v>
      </c>
      <c r="P292">
        <v>0</v>
      </c>
      <c r="Q292">
        <v>0</v>
      </c>
      <c r="R292">
        <v>0</v>
      </c>
      <c r="S292" s="453">
        <v>45827.021527777775</v>
      </c>
      <c r="T292" t="s">
        <v>41</v>
      </c>
      <c r="U292" t="s">
        <v>445</v>
      </c>
      <c r="V292" t="s">
        <v>607</v>
      </c>
    </row>
    <row r="293" spans="1:22">
      <c r="A293">
        <v>30</v>
      </c>
      <c r="B293" s="111">
        <v>46095</v>
      </c>
      <c r="C293" s="453">
        <v>46095.458333333336</v>
      </c>
      <c r="D293" s="453">
        <v>46095.625</v>
      </c>
      <c r="E293" s="453">
        <v>46095.75</v>
      </c>
      <c r="F293" s="453">
        <v>46095.791666666664</v>
      </c>
      <c r="G293" s="453">
        <v>46095.958333333336</v>
      </c>
      <c r="H293" t="s">
        <v>256</v>
      </c>
      <c r="I293" t="s">
        <v>172</v>
      </c>
      <c r="J293" t="s">
        <v>107</v>
      </c>
      <c r="M293" t="s">
        <v>15</v>
      </c>
      <c r="N293">
        <v>0</v>
      </c>
      <c r="O293">
        <v>0</v>
      </c>
      <c r="P293">
        <v>0</v>
      </c>
      <c r="Q293">
        <v>0</v>
      </c>
      <c r="R293">
        <v>0</v>
      </c>
      <c r="S293" s="453">
        <v>45827.021527777775</v>
      </c>
      <c r="T293" t="s">
        <v>41</v>
      </c>
      <c r="U293" t="s">
        <v>445</v>
      </c>
      <c r="V293" t="s">
        <v>607</v>
      </c>
    </row>
    <row r="294" spans="1:22">
      <c r="A294">
        <v>30</v>
      </c>
      <c r="B294" s="111">
        <v>46095</v>
      </c>
      <c r="C294" s="453">
        <v>46095.458333333336</v>
      </c>
      <c r="D294" s="453">
        <v>46095.625</v>
      </c>
      <c r="E294" s="453">
        <v>46095.75</v>
      </c>
      <c r="F294" s="453">
        <v>46095.791666666664</v>
      </c>
      <c r="G294" s="453">
        <v>46095.958333333336</v>
      </c>
      <c r="H294" t="s">
        <v>501</v>
      </c>
      <c r="I294" t="s">
        <v>451</v>
      </c>
      <c r="J294" t="s">
        <v>5</v>
      </c>
      <c r="M294" t="s">
        <v>3</v>
      </c>
      <c r="N294">
        <v>0</v>
      </c>
      <c r="O294">
        <v>0</v>
      </c>
      <c r="P294">
        <v>0</v>
      </c>
      <c r="Q294">
        <v>0</v>
      </c>
      <c r="R294">
        <v>0</v>
      </c>
      <c r="S294" s="453">
        <v>45827.021527777775</v>
      </c>
      <c r="T294" t="s">
        <v>41</v>
      </c>
      <c r="U294" t="s">
        <v>445</v>
      </c>
      <c r="V294" t="s">
        <v>607</v>
      </c>
    </row>
    <row r="295" spans="1:22">
      <c r="A295">
        <v>30</v>
      </c>
      <c r="B295" s="111">
        <v>46095</v>
      </c>
      <c r="C295" s="453">
        <v>46095.458333333336</v>
      </c>
      <c r="D295" s="453">
        <v>46095.625</v>
      </c>
      <c r="E295" s="453">
        <v>46095.75</v>
      </c>
      <c r="F295" s="453">
        <v>46095.791666666664</v>
      </c>
      <c r="G295" s="453">
        <v>46095.958333333336</v>
      </c>
      <c r="H295" t="s">
        <v>270</v>
      </c>
      <c r="I295" t="s">
        <v>51</v>
      </c>
      <c r="J295" t="s">
        <v>6</v>
      </c>
      <c r="M295" t="s">
        <v>12</v>
      </c>
      <c r="N295">
        <v>0</v>
      </c>
      <c r="O295">
        <v>0</v>
      </c>
      <c r="P295">
        <v>0</v>
      </c>
      <c r="Q295">
        <v>0</v>
      </c>
      <c r="R295">
        <v>0</v>
      </c>
      <c r="S295" s="453">
        <v>45827.021527777775</v>
      </c>
      <c r="T295" t="s">
        <v>41</v>
      </c>
      <c r="U295" t="s">
        <v>445</v>
      </c>
      <c r="V295" t="s">
        <v>607</v>
      </c>
    </row>
    <row r="296" spans="1:22">
      <c r="A296">
        <v>30</v>
      </c>
      <c r="B296" s="111">
        <v>46095</v>
      </c>
      <c r="C296" s="453">
        <v>46095.458333333336</v>
      </c>
      <c r="D296" s="453">
        <v>46095.625</v>
      </c>
      <c r="E296" s="453">
        <v>46095.75</v>
      </c>
      <c r="F296" s="453">
        <v>46095.791666666664</v>
      </c>
      <c r="G296" s="453">
        <v>46095.958333333336</v>
      </c>
      <c r="H296" t="s">
        <v>542</v>
      </c>
      <c r="I296" t="s">
        <v>44</v>
      </c>
      <c r="J296" t="s">
        <v>7</v>
      </c>
      <c r="M296" t="s">
        <v>444</v>
      </c>
      <c r="N296">
        <v>0</v>
      </c>
      <c r="O296">
        <v>0</v>
      </c>
      <c r="P296">
        <v>0</v>
      </c>
      <c r="Q296">
        <v>0</v>
      </c>
      <c r="R296">
        <v>0</v>
      </c>
      <c r="S296" s="453">
        <v>45827.021527777775</v>
      </c>
      <c r="T296" t="s">
        <v>41</v>
      </c>
      <c r="U296" t="s">
        <v>445</v>
      </c>
      <c r="V296" t="s">
        <v>607</v>
      </c>
    </row>
    <row r="297" spans="1:22">
      <c r="A297">
        <v>30</v>
      </c>
      <c r="B297" s="111">
        <v>46095</v>
      </c>
      <c r="C297" s="453">
        <v>46095.458333333336</v>
      </c>
      <c r="D297" s="453">
        <v>46095.625</v>
      </c>
      <c r="E297" s="453">
        <v>46095.75</v>
      </c>
      <c r="F297" s="453">
        <v>46095.791666666664</v>
      </c>
      <c r="G297" s="453">
        <v>46095.958333333336</v>
      </c>
      <c r="H297" t="s">
        <v>408</v>
      </c>
      <c r="I297" t="s">
        <v>40</v>
      </c>
      <c r="J297" t="s">
        <v>9</v>
      </c>
      <c r="M297" t="s">
        <v>13</v>
      </c>
      <c r="N297">
        <v>0</v>
      </c>
      <c r="O297">
        <v>0</v>
      </c>
      <c r="P297">
        <v>0</v>
      </c>
      <c r="Q297">
        <v>0</v>
      </c>
      <c r="R297">
        <v>0</v>
      </c>
      <c r="S297" s="453">
        <v>45827.021527777775</v>
      </c>
      <c r="T297" t="s">
        <v>41</v>
      </c>
      <c r="U297" t="s">
        <v>445</v>
      </c>
      <c r="V297" t="s">
        <v>607</v>
      </c>
    </row>
    <row r="298" spans="1:22">
      <c r="A298">
        <v>30</v>
      </c>
      <c r="B298" s="111">
        <v>46095</v>
      </c>
      <c r="C298" s="453">
        <v>46095.458333333336</v>
      </c>
      <c r="D298" s="453">
        <v>46095.625</v>
      </c>
      <c r="E298" s="453">
        <v>46095.75</v>
      </c>
      <c r="F298" s="453">
        <v>46095.791666666664</v>
      </c>
      <c r="G298" s="453">
        <v>46095.958333333336</v>
      </c>
      <c r="H298" t="s">
        <v>430</v>
      </c>
      <c r="I298" t="s">
        <v>47</v>
      </c>
      <c r="J298" t="s">
        <v>11</v>
      </c>
      <c r="M298" t="s">
        <v>2</v>
      </c>
      <c r="N298">
        <v>0</v>
      </c>
      <c r="O298">
        <v>0</v>
      </c>
      <c r="P298">
        <v>0</v>
      </c>
      <c r="Q298">
        <v>0</v>
      </c>
      <c r="R298">
        <v>0</v>
      </c>
      <c r="S298" s="453">
        <v>45827.021527777775</v>
      </c>
      <c r="T298" t="s">
        <v>41</v>
      </c>
      <c r="U298" t="s">
        <v>445</v>
      </c>
      <c r="V298" t="s">
        <v>607</v>
      </c>
    </row>
    <row r="299" spans="1:22">
      <c r="A299">
        <v>30</v>
      </c>
      <c r="B299" s="111">
        <v>46095</v>
      </c>
      <c r="C299" s="453">
        <v>46095.458333333336</v>
      </c>
      <c r="D299" s="453">
        <v>46095.625</v>
      </c>
      <c r="E299" s="453">
        <v>46095.75</v>
      </c>
      <c r="F299" s="453">
        <v>46095.791666666664</v>
      </c>
      <c r="G299" s="453">
        <v>46095.958333333336</v>
      </c>
      <c r="H299" t="s">
        <v>253</v>
      </c>
      <c r="I299" t="s">
        <v>158</v>
      </c>
      <c r="J299" t="s">
        <v>188</v>
      </c>
      <c r="M299" t="s">
        <v>108</v>
      </c>
      <c r="N299">
        <v>0</v>
      </c>
      <c r="O299">
        <v>0</v>
      </c>
      <c r="P299">
        <v>0</v>
      </c>
      <c r="Q299">
        <v>0</v>
      </c>
      <c r="R299">
        <v>0</v>
      </c>
      <c r="S299" s="453">
        <v>45827.021527777775</v>
      </c>
      <c r="T299" t="s">
        <v>41</v>
      </c>
      <c r="U299" t="s">
        <v>445</v>
      </c>
      <c r="V299" t="s">
        <v>607</v>
      </c>
    </row>
    <row r="300" spans="1:22">
      <c r="A300">
        <v>30</v>
      </c>
      <c r="B300" s="111">
        <v>46095</v>
      </c>
      <c r="C300" s="453">
        <v>46095.458333333336</v>
      </c>
      <c r="D300" s="453">
        <v>46095.625</v>
      </c>
      <c r="E300" s="453">
        <v>46095.75</v>
      </c>
      <c r="F300" s="453">
        <v>46095.791666666664</v>
      </c>
      <c r="G300" s="453">
        <v>46095.958333333336</v>
      </c>
      <c r="H300" t="s">
        <v>502</v>
      </c>
      <c r="I300" t="s">
        <v>448</v>
      </c>
      <c r="J300" t="s">
        <v>443</v>
      </c>
      <c r="M300" t="s">
        <v>4</v>
      </c>
      <c r="N300">
        <v>0</v>
      </c>
      <c r="O300">
        <v>0</v>
      </c>
      <c r="P300">
        <v>0</v>
      </c>
      <c r="Q300">
        <v>0</v>
      </c>
      <c r="R300">
        <v>0</v>
      </c>
      <c r="S300" s="453">
        <v>45827.021527777775</v>
      </c>
      <c r="T300" t="s">
        <v>41</v>
      </c>
      <c r="U300" t="s">
        <v>445</v>
      </c>
      <c r="V300" t="s">
        <v>607</v>
      </c>
    </row>
    <row r="301" spans="1:22">
      <c r="A301">
        <v>30</v>
      </c>
      <c r="B301" s="111">
        <v>46095</v>
      </c>
      <c r="C301" s="453">
        <v>46095.458333333336</v>
      </c>
      <c r="D301" s="453">
        <v>46095.625</v>
      </c>
      <c r="E301" s="453">
        <v>46095.75</v>
      </c>
      <c r="F301" s="453">
        <v>46095.791666666664</v>
      </c>
      <c r="G301" s="453">
        <v>46095.958333333336</v>
      </c>
      <c r="H301" t="s">
        <v>233</v>
      </c>
      <c r="I301" t="s">
        <v>42</v>
      </c>
      <c r="J301" t="s">
        <v>14</v>
      </c>
      <c r="M301" t="s">
        <v>10</v>
      </c>
      <c r="N301">
        <v>0</v>
      </c>
      <c r="O301">
        <v>0</v>
      </c>
      <c r="P301">
        <v>0</v>
      </c>
      <c r="Q301">
        <v>0</v>
      </c>
      <c r="R301">
        <v>0</v>
      </c>
      <c r="S301" s="453">
        <v>45827.021527777775</v>
      </c>
      <c r="T301" t="s">
        <v>41</v>
      </c>
      <c r="U301" t="s">
        <v>445</v>
      </c>
      <c r="V301" t="s">
        <v>607</v>
      </c>
    </row>
    <row r="302" spans="1:22">
      <c r="A302">
        <v>31</v>
      </c>
      <c r="B302" s="111">
        <v>46102</v>
      </c>
      <c r="C302" s="453">
        <v>46102.458333333336</v>
      </c>
      <c r="D302" s="453">
        <v>46102.625</v>
      </c>
      <c r="E302" s="453">
        <v>46102.75</v>
      </c>
      <c r="F302" s="453">
        <v>46102.791666666664</v>
      </c>
      <c r="G302" s="453">
        <v>46102.958333333336</v>
      </c>
      <c r="H302" t="s">
        <v>348</v>
      </c>
      <c r="I302" t="s">
        <v>49</v>
      </c>
      <c r="J302" t="s">
        <v>2</v>
      </c>
      <c r="M302" t="s">
        <v>14</v>
      </c>
      <c r="N302">
        <v>0</v>
      </c>
      <c r="O302">
        <v>0</v>
      </c>
      <c r="P302">
        <v>0</v>
      </c>
      <c r="Q302">
        <v>0</v>
      </c>
      <c r="R302">
        <v>0</v>
      </c>
      <c r="S302" s="453">
        <v>45827.314583333333</v>
      </c>
      <c r="T302" t="s">
        <v>41</v>
      </c>
      <c r="U302" t="s">
        <v>445</v>
      </c>
      <c r="V302" t="s">
        <v>607</v>
      </c>
    </row>
    <row r="303" spans="1:22">
      <c r="A303">
        <v>31</v>
      </c>
      <c r="B303" s="111">
        <v>46102</v>
      </c>
      <c r="C303" s="453">
        <v>46102.458333333336</v>
      </c>
      <c r="D303" s="453">
        <v>46102.625</v>
      </c>
      <c r="E303" s="453">
        <v>46102.75</v>
      </c>
      <c r="F303" s="453">
        <v>46102.791666666664</v>
      </c>
      <c r="G303" s="453">
        <v>46102.958333333336</v>
      </c>
      <c r="H303" t="s">
        <v>406</v>
      </c>
      <c r="I303" t="s">
        <v>43</v>
      </c>
      <c r="J303" t="s">
        <v>3</v>
      </c>
      <c r="M303" t="s">
        <v>11</v>
      </c>
      <c r="N303">
        <v>0</v>
      </c>
      <c r="O303">
        <v>0</v>
      </c>
      <c r="P303">
        <v>0</v>
      </c>
      <c r="Q303">
        <v>0</v>
      </c>
      <c r="R303">
        <v>0</v>
      </c>
      <c r="S303" s="453">
        <v>45827.314583333333</v>
      </c>
      <c r="T303" t="s">
        <v>41</v>
      </c>
      <c r="U303" t="s">
        <v>445</v>
      </c>
      <c r="V303" t="s">
        <v>607</v>
      </c>
    </row>
    <row r="304" spans="1:22">
      <c r="A304">
        <v>31</v>
      </c>
      <c r="B304" s="111">
        <v>46102</v>
      </c>
      <c r="C304" s="453">
        <v>46102.458333333336</v>
      </c>
      <c r="D304" s="453">
        <v>46102.625</v>
      </c>
      <c r="E304" s="453">
        <v>46102.75</v>
      </c>
      <c r="F304" s="453">
        <v>46102.791666666664</v>
      </c>
      <c r="G304" s="453">
        <v>46102.958333333336</v>
      </c>
      <c r="H304" t="s">
        <v>424</v>
      </c>
      <c r="I304" t="s">
        <v>217</v>
      </c>
      <c r="J304" t="s">
        <v>4</v>
      </c>
      <c r="M304" t="s">
        <v>9</v>
      </c>
      <c r="N304">
        <v>0</v>
      </c>
      <c r="O304">
        <v>0</v>
      </c>
      <c r="P304">
        <v>0</v>
      </c>
      <c r="Q304">
        <v>0</v>
      </c>
      <c r="R304">
        <v>0</v>
      </c>
      <c r="S304" s="453">
        <v>45827.314583333333</v>
      </c>
      <c r="T304" t="s">
        <v>41</v>
      </c>
      <c r="U304" t="s">
        <v>445</v>
      </c>
      <c r="V304" t="s">
        <v>607</v>
      </c>
    </row>
    <row r="305" spans="1:22">
      <c r="A305">
        <v>31</v>
      </c>
      <c r="B305" s="111">
        <v>46102</v>
      </c>
      <c r="C305" s="453">
        <v>46102.458333333336</v>
      </c>
      <c r="D305" s="453">
        <v>46102.625</v>
      </c>
      <c r="E305" s="453">
        <v>46102.75</v>
      </c>
      <c r="F305" s="453">
        <v>46102.791666666664</v>
      </c>
      <c r="G305" s="453">
        <v>46102.958333333336</v>
      </c>
      <c r="H305" t="s">
        <v>149</v>
      </c>
      <c r="I305" t="s">
        <v>452</v>
      </c>
      <c r="J305" t="s">
        <v>8</v>
      </c>
      <c r="M305" t="s">
        <v>6</v>
      </c>
      <c r="N305">
        <v>0</v>
      </c>
      <c r="O305">
        <v>0</v>
      </c>
      <c r="P305">
        <v>0</v>
      </c>
      <c r="Q305">
        <v>0</v>
      </c>
      <c r="R305">
        <v>0</v>
      </c>
      <c r="S305" s="453">
        <v>45827.314583333333</v>
      </c>
      <c r="T305" t="s">
        <v>41</v>
      </c>
      <c r="U305" t="s">
        <v>445</v>
      </c>
      <c r="V305" t="s">
        <v>607</v>
      </c>
    </row>
    <row r="306" spans="1:22">
      <c r="A306">
        <v>31</v>
      </c>
      <c r="B306" s="111">
        <v>46102</v>
      </c>
      <c r="C306" s="453">
        <v>46102.458333333336</v>
      </c>
      <c r="D306" s="453">
        <v>46102.625</v>
      </c>
      <c r="E306" s="453">
        <v>46102.75</v>
      </c>
      <c r="F306" s="453">
        <v>46102.791666666664</v>
      </c>
      <c r="G306" s="453">
        <v>46102.958333333336</v>
      </c>
      <c r="H306" t="s">
        <v>552</v>
      </c>
      <c r="I306" t="s">
        <v>157</v>
      </c>
      <c r="J306" t="s">
        <v>108</v>
      </c>
      <c r="M306" t="s">
        <v>5</v>
      </c>
      <c r="N306">
        <v>0</v>
      </c>
      <c r="O306">
        <v>0</v>
      </c>
      <c r="P306">
        <v>0</v>
      </c>
      <c r="Q306">
        <v>0</v>
      </c>
      <c r="R306">
        <v>0</v>
      </c>
      <c r="S306" s="453">
        <v>45827.314583333333</v>
      </c>
      <c r="T306" t="s">
        <v>41</v>
      </c>
      <c r="U306" t="s">
        <v>445</v>
      </c>
      <c r="V306" t="s">
        <v>607</v>
      </c>
    </row>
    <row r="307" spans="1:22">
      <c r="A307">
        <v>31</v>
      </c>
      <c r="B307" s="111">
        <v>46102</v>
      </c>
      <c r="C307" s="453">
        <v>46102.458333333336</v>
      </c>
      <c r="D307" s="453">
        <v>46102.625</v>
      </c>
      <c r="E307" s="453">
        <v>46102.75</v>
      </c>
      <c r="F307" s="453">
        <v>46102.791666666664</v>
      </c>
      <c r="G307" s="453">
        <v>46102.958333333336</v>
      </c>
      <c r="H307" t="s">
        <v>553</v>
      </c>
      <c r="I307" t="s">
        <v>449</v>
      </c>
      <c r="J307" t="s">
        <v>444</v>
      </c>
      <c r="M307" t="s">
        <v>107</v>
      </c>
      <c r="N307">
        <v>0</v>
      </c>
      <c r="O307">
        <v>0</v>
      </c>
      <c r="P307">
        <v>0</v>
      </c>
      <c r="Q307">
        <v>0</v>
      </c>
      <c r="R307">
        <v>0</v>
      </c>
      <c r="S307" s="453">
        <v>45827.314583333333</v>
      </c>
      <c r="T307" t="s">
        <v>41</v>
      </c>
      <c r="U307" t="s">
        <v>445</v>
      </c>
      <c r="V307" t="s">
        <v>607</v>
      </c>
    </row>
    <row r="308" spans="1:22">
      <c r="A308">
        <v>31</v>
      </c>
      <c r="B308" s="111">
        <v>46102</v>
      </c>
      <c r="C308" s="453">
        <v>46102.458333333336</v>
      </c>
      <c r="D308" s="453">
        <v>46102.625</v>
      </c>
      <c r="E308" s="453">
        <v>46102.75</v>
      </c>
      <c r="F308" s="453">
        <v>46102.791666666664</v>
      </c>
      <c r="G308" s="453">
        <v>46102.958333333336</v>
      </c>
      <c r="H308" t="s">
        <v>396</v>
      </c>
      <c r="I308" t="s">
        <v>50</v>
      </c>
      <c r="J308" t="s">
        <v>10</v>
      </c>
      <c r="M308" t="s">
        <v>7</v>
      </c>
      <c r="N308">
        <v>0</v>
      </c>
      <c r="O308">
        <v>0</v>
      </c>
      <c r="P308">
        <v>0</v>
      </c>
      <c r="Q308">
        <v>0</v>
      </c>
      <c r="R308">
        <v>0</v>
      </c>
      <c r="S308" s="453">
        <v>45827.314583333333</v>
      </c>
      <c r="T308" t="s">
        <v>41</v>
      </c>
      <c r="U308" t="s">
        <v>445</v>
      </c>
      <c r="V308" t="s">
        <v>607</v>
      </c>
    </row>
    <row r="309" spans="1:22">
      <c r="A309">
        <v>31</v>
      </c>
      <c r="B309" s="111">
        <v>46102</v>
      </c>
      <c r="C309" s="453">
        <v>46102.458333333336</v>
      </c>
      <c r="D309" s="453">
        <v>46102.625</v>
      </c>
      <c r="E309" s="453">
        <v>46102.75</v>
      </c>
      <c r="F309" s="453">
        <v>46102.791666666664</v>
      </c>
      <c r="G309" s="453">
        <v>46102.958333333336</v>
      </c>
      <c r="H309" t="s">
        <v>554</v>
      </c>
      <c r="I309" t="s">
        <v>46</v>
      </c>
      <c r="J309" t="s">
        <v>12</v>
      </c>
      <c r="M309" t="s">
        <v>443</v>
      </c>
      <c r="N309">
        <v>0</v>
      </c>
      <c r="O309">
        <v>0</v>
      </c>
      <c r="P309">
        <v>0</v>
      </c>
      <c r="Q309">
        <v>0</v>
      </c>
      <c r="R309">
        <v>0</v>
      </c>
      <c r="S309" s="453">
        <v>45827.314583333333</v>
      </c>
      <c r="T309" t="s">
        <v>41</v>
      </c>
      <c r="U309" t="s">
        <v>445</v>
      </c>
      <c r="V309" t="s">
        <v>607</v>
      </c>
    </row>
    <row r="310" spans="1:22">
      <c r="A310">
        <v>31</v>
      </c>
      <c r="B310" s="111">
        <v>46102</v>
      </c>
      <c r="C310" s="453">
        <v>46102.458333333336</v>
      </c>
      <c r="D310" s="453">
        <v>46102.625</v>
      </c>
      <c r="E310" s="453">
        <v>46102.75</v>
      </c>
      <c r="F310" s="453">
        <v>46102.791666666664</v>
      </c>
      <c r="G310" s="453">
        <v>46102.958333333336</v>
      </c>
      <c r="H310" t="s">
        <v>405</v>
      </c>
      <c r="I310" t="s">
        <v>45</v>
      </c>
      <c r="J310" t="s">
        <v>13</v>
      </c>
      <c r="M310" t="s">
        <v>188</v>
      </c>
      <c r="N310">
        <v>0</v>
      </c>
      <c r="O310">
        <v>0</v>
      </c>
      <c r="P310">
        <v>0</v>
      </c>
      <c r="Q310">
        <v>0</v>
      </c>
      <c r="R310">
        <v>0</v>
      </c>
      <c r="S310" s="453">
        <v>45827.314583333333</v>
      </c>
      <c r="T310" t="s">
        <v>41</v>
      </c>
      <c r="U310" t="s">
        <v>445</v>
      </c>
      <c r="V310" t="s">
        <v>607</v>
      </c>
    </row>
    <row r="311" spans="1:22">
      <c r="A311">
        <v>31</v>
      </c>
      <c r="B311" s="111">
        <v>46102</v>
      </c>
      <c r="C311" s="453">
        <v>46102.458333333336</v>
      </c>
      <c r="D311" s="453">
        <v>46102.625</v>
      </c>
      <c r="E311" s="453">
        <v>46102.75</v>
      </c>
      <c r="F311" s="453">
        <v>46102.791666666664</v>
      </c>
      <c r="G311" s="453">
        <v>46102.958333333336</v>
      </c>
      <c r="H311" t="s">
        <v>346</v>
      </c>
      <c r="I311" t="s">
        <v>52</v>
      </c>
      <c r="J311" t="s">
        <v>15</v>
      </c>
      <c r="M311" t="s">
        <v>1</v>
      </c>
      <c r="N311">
        <v>0</v>
      </c>
      <c r="O311">
        <v>0</v>
      </c>
      <c r="P311">
        <v>0</v>
      </c>
      <c r="Q311">
        <v>0</v>
      </c>
      <c r="R311">
        <v>0</v>
      </c>
      <c r="S311" s="453">
        <v>45827.314583333333</v>
      </c>
      <c r="T311" t="s">
        <v>41</v>
      </c>
      <c r="U311" t="s">
        <v>445</v>
      </c>
      <c r="V311" t="s">
        <v>607</v>
      </c>
    </row>
    <row r="312" spans="1:22">
      <c r="A312">
        <v>32</v>
      </c>
      <c r="B312" s="111">
        <v>46123</v>
      </c>
      <c r="C312" s="453">
        <v>46123.416666666664</v>
      </c>
      <c r="D312" s="453">
        <v>46123.625</v>
      </c>
      <c r="E312" s="453">
        <v>46123.708333333336</v>
      </c>
      <c r="F312" s="453">
        <v>46123.75</v>
      </c>
      <c r="G312" s="453">
        <v>46123.916666666664</v>
      </c>
      <c r="H312" t="s">
        <v>411</v>
      </c>
      <c r="I312" t="s">
        <v>48</v>
      </c>
      <c r="J312" t="s">
        <v>1</v>
      </c>
      <c r="M312" t="s">
        <v>3</v>
      </c>
      <c r="N312">
        <v>0</v>
      </c>
      <c r="O312">
        <v>0</v>
      </c>
      <c r="P312">
        <v>0</v>
      </c>
      <c r="Q312">
        <v>0</v>
      </c>
      <c r="R312">
        <v>0</v>
      </c>
      <c r="S312" s="453">
        <v>45827.022222222222</v>
      </c>
      <c r="T312" t="s">
        <v>41</v>
      </c>
      <c r="U312" t="s">
        <v>445</v>
      </c>
      <c r="V312" t="s">
        <v>607</v>
      </c>
    </row>
    <row r="313" spans="1:22">
      <c r="A313">
        <v>32</v>
      </c>
      <c r="B313" s="111">
        <v>46123</v>
      </c>
      <c r="C313" s="453">
        <v>46123.416666666664</v>
      </c>
      <c r="D313" s="453">
        <v>46123.625</v>
      </c>
      <c r="E313" s="453">
        <v>46123.708333333336</v>
      </c>
      <c r="F313" s="453">
        <v>46123.75</v>
      </c>
      <c r="G313" s="453">
        <v>46123.916666666664</v>
      </c>
      <c r="H313" t="s">
        <v>125</v>
      </c>
      <c r="I313" t="s">
        <v>172</v>
      </c>
      <c r="J313" t="s">
        <v>107</v>
      </c>
      <c r="M313" t="s">
        <v>8</v>
      </c>
      <c r="N313">
        <v>0</v>
      </c>
      <c r="O313">
        <v>0</v>
      </c>
      <c r="P313">
        <v>0</v>
      </c>
      <c r="Q313">
        <v>0</v>
      </c>
      <c r="R313">
        <v>0</v>
      </c>
      <c r="S313" s="453">
        <v>45827.022222222222</v>
      </c>
      <c r="T313" t="s">
        <v>41</v>
      </c>
      <c r="U313" t="s">
        <v>445</v>
      </c>
      <c r="V313" t="s">
        <v>607</v>
      </c>
    </row>
    <row r="314" spans="1:22">
      <c r="A314">
        <v>32</v>
      </c>
      <c r="B314" s="111">
        <v>46123</v>
      </c>
      <c r="C314" s="453">
        <v>46123.416666666664</v>
      </c>
      <c r="D314" s="453">
        <v>46123.625</v>
      </c>
      <c r="E314" s="453">
        <v>46123.708333333336</v>
      </c>
      <c r="F314" s="453">
        <v>46123.75</v>
      </c>
      <c r="G314" s="453">
        <v>46123.916666666664</v>
      </c>
      <c r="H314" t="s">
        <v>503</v>
      </c>
      <c r="I314" t="s">
        <v>451</v>
      </c>
      <c r="J314" t="s">
        <v>5</v>
      </c>
      <c r="M314" t="s">
        <v>4</v>
      </c>
      <c r="N314">
        <v>0</v>
      </c>
      <c r="O314">
        <v>0</v>
      </c>
      <c r="P314">
        <v>0</v>
      </c>
      <c r="Q314">
        <v>0</v>
      </c>
      <c r="R314">
        <v>0</v>
      </c>
      <c r="S314" s="453">
        <v>45827.022222222222</v>
      </c>
      <c r="T314" t="s">
        <v>41</v>
      </c>
      <c r="U314" t="s">
        <v>445</v>
      </c>
      <c r="V314" t="s">
        <v>607</v>
      </c>
    </row>
    <row r="315" spans="1:22">
      <c r="A315">
        <v>32</v>
      </c>
      <c r="B315" s="111">
        <v>46123</v>
      </c>
      <c r="C315" s="453">
        <v>46123.416666666664</v>
      </c>
      <c r="D315" s="453">
        <v>46123.625</v>
      </c>
      <c r="E315" s="453">
        <v>46123.708333333336</v>
      </c>
      <c r="F315" s="453">
        <v>46123.75</v>
      </c>
      <c r="G315" s="453">
        <v>46123.916666666664</v>
      </c>
      <c r="H315" t="s">
        <v>224</v>
      </c>
      <c r="I315" t="s">
        <v>51</v>
      </c>
      <c r="J315" t="s">
        <v>6</v>
      </c>
      <c r="M315" t="s">
        <v>10</v>
      </c>
      <c r="N315">
        <v>0</v>
      </c>
      <c r="O315">
        <v>0</v>
      </c>
      <c r="P315">
        <v>0</v>
      </c>
      <c r="Q315">
        <v>0</v>
      </c>
      <c r="R315">
        <v>0</v>
      </c>
      <c r="S315" s="453">
        <v>45827.022222222222</v>
      </c>
      <c r="T315" t="s">
        <v>41</v>
      </c>
      <c r="U315" t="s">
        <v>445</v>
      </c>
      <c r="V315" t="s">
        <v>607</v>
      </c>
    </row>
    <row r="316" spans="1:22">
      <c r="A316">
        <v>32</v>
      </c>
      <c r="B316" s="111">
        <v>46123</v>
      </c>
      <c r="C316" s="453">
        <v>46123.416666666664</v>
      </c>
      <c r="D316" s="453">
        <v>46123.625</v>
      </c>
      <c r="E316" s="453">
        <v>46123.708333333336</v>
      </c>
      <c r="F316" s="453">
        <v>46123.75</v>
      </c>
      <c r="G316" s="453">
        <v>46123.916666666664</v>
      </c>
      <c r="H316" t="s">
        <v>289</v>
      </c>
      <c r="I316" t="s">
        <v>44</v>
      </c>
      <c r="J316" t="s">
        <v>7</v>
      </c>
      <c r="M316" t="s">
        <v>12</v>
      </c>
      <c r="N316">
        <v>0</v>
      </c>
      <c r="O316">
        <v>0</v>
      </c>
      <c r="P316">
        <v>0</v>
      </c>
      <c r="Q316">
        <v>0</v>
      </c>
      <c r="R316">
        <v>0</v>
      </c>
      <c r="S316" s="453">
        <v>45827.022222222222</v>
      </c>
      <c r="T316" t="s">
        <v>41</v>
      </c>
      <c r="U316" t="s">
        <v>445</v>
      </c>
      <c r="V316" t="s">
        <v>607</v>
      </c>
    </row>
    <row r="317" spans="1:22">
      <c r="A317">
        <v>32</v>
      </c>
      <c r="B317" s="111">
        <v>46123</v>
      </c>
      <c r="C317" s="453">
        <v>46123.416666666664</v>
      </c>
      <c r="D317" s="453">
        <v>46123.625</v>
      </c>
      <c r="E317" s="453">
        <v>46123.708333333336</v>
      </c>
      <c r="F317" s="453">
        <v>46123.75</v>
      </c>
      <c r="G317" s="453">
        <v>46123.916666666664</v>
      </c>
      <c r="H317" t="s">
        <v>168</v>
      </c>
      <c r="I317" t="s">
        <v>40</v>
      </c>
      <c r="J317" t="s">
        <v>9</v>
      </c>
      <c r="M317" t="s">
        <v>108</v>
      </c>
      <c r="N317">
        <v>0</v>
      </c>
      <c r="O317">
        <v>0</v>
      </c>
      <c r="P317">
        <v>0</v>
      </c>
      <c r="Q317">
        <v>0</v>
      </c>
      <c r="R317">
        <v>0</v>
      </c>
      <c r="S317" s="453">
        <v>45827.022222222222</v>
      </c>
      <c r="T317" t="s">
        <v>41</v>
      </c>
      <c r="U317" t="s">
        <v>445</v>
      </c>
      <c r="V317" t="s">
        <v>607</v>
      </c>
    </row>
    <row r="318" spans="1:22">
      <c r="A318">
        <v>32</v>
      </c>
      <c r="B318" s="111">
        <v>46123</v>
      </c>
      <c r="C318" s="453">
        <v>46123.416666666664</v>
      </c>
      <c r="D318" s="453">
        <v>46123.625</v>
      </c>
      <c r="E318" s="453">
        <v>46123.708333333336</v>
      </c>
      <c r="F318" s="453">
        <v>46123.75</v>
      </c>
      <c r="G318" s="453">
        <v>46123.916666666664</v>
      </c>
      <c r="H318" t="s">
        <v>543</v>
      </c>
      <c r="I318" t="s">
        <v>47</v>
      </c>
      <c r="J318" t="s">
        <v>11</v>
      </c>
      <c r="M318" t="s">
        <v>444</v>
      </c>
      <c r="N318">
        <v>0</v>
      </c>
      <c r="O318">
        <v>0</v>
      </c>
      <c r="P318">
        <v>0</v>
      </c>
      <c r="Q318">
        <v>0</v>
      </c>
      <c r="R318">
        <v>0</v>
      </c>
      <c r="S318" s="453">
        <v>45827.022222222222</v>
      </c>
      <c r="T318" t="s">
        <v>41</v>
      </c>
      <c r="U318" t="s">
        <v>445</v>
      </c>
      <c r="V318" t="s">
        <v>607</v>
      </c>
    </row>
    <row r="319" spans="1:22">
      <c r="A319">
        <v>32</v>
      </c>
      <c r="B319" s="111">
        <v>46123</v>
      </c>
      <c r="C319" s="453">
        <v>46123.416666666664</v>
      </c>
      <c r="D319" s="453">
        <v>46123.625</v>
      </c>
      <c r="E319" s="453">
        <v>46123.708333333336</v>
      </c>
      <c r="F319" s="453">
        <v>46123.75</v>
      </c>
      <c r="G319" s="453">
        <v>46123.916666666664</v>
      </c>
      <c r="H319" t="s">
        <v>306</v>
      </c>
      <c r="I319" t="s">
        <v>158</v>
      </c>
      <c r="J319" t="s">
        <v>188</v>
      </c>
      <c r="M319" t="s">
        <v>2</v>
      </c>
      <c r="N319">
        <v>0</v>
      </c>
      <c r="O319">
        <v>0</v>
      </c>
      <c r="P319">
        <v>0</v>
      </c>
      <c r="Q319">
        <v>0</v>
      </c>
      <c r="R319">
        <v>0</v>
      </c>
      <c r="S319" s="453">
        <v>45827.022222222222</v>
      </c>
      <c r="T319" t="s">
        <v>41</v>
      </c>
      <c r="U319" t="s">
        <v>445</v>
      </c>
      <c r="V319" t="s">
        <v>607</v>
      </c>
    </row>
    <row r="320" spans="1:22">
      <c r="A320">
        <v>32</v>
      </c>
      <c r="B320" s="111">
        <v>46123</v>
      </c>
      <c r="C320" s="453">
        <v>46123.416666666664</v>
      </c>
      <c r="D320" s="453">
        <v>46123.625</v>
      </c>
      <c r="E320" s="453">
        <v>46123.708333333336</v>
      </c>
      <c r="F320" s="453">
        <v>46123.75</v>
      </c>
      <c r="G320" s="453">
        <v>46123.916666666664</v>
      </c>
      <c r="H320" t="s">
        <v>504</v>
      </c>
      <c r="I320" t="s">
        <v>448</v>
      </c>
      <c r="J320" t="s">
        <v>443</v>
      </c>
      <c r="M320" t="s">
        <v>13</v>
      </c>
      <c r="N320">
        <v>0</v>
      </c>
      <c r="O320">
        <v>0</v>
      </c>
      <c r="P320">
        <v>0</v>
      </c>
      <c r="Q320">
        <v>0</v>
      </c>
      <c r="R320">
        <v>0</v>
      </c>
      <c r="S320" s="453">
        <v>45827.022222222222</v>
      </c>
      <c r="T320" t="s">
        <v>41</v>
      </c>
      <c r="U320" t="s">
        <v>445</v>
      </c>
      <c r="V320" t="s">
        <v>607</v>
      </c>
    </row>
    <row r="321" spans="1:22">
      <c r="A321">
        <v>32</v>
      </c>
      <c r="B321" s="111">
        <v>46123</v>
      </c>
      <c r="C321" s="453">
        <v>46123.416666666664</v>
      </c>
      <c r="D321" s="453">
        <v>46123.625</v>
      </c>
      <c r="E321" s="453">
        <v>46123.708333333336</v>
      </c>
      <c r="F321" s="453">
        <v>46123.75</v>
      </c>
      <c r="G321" s="453">
        <v>46123.916666666664</v>
      </c>
      <c r="H321" t="s">
        <v>305</v>
      </c>
      <c r="I321" t="s">
        <v>42</v>
      </c>
      <c r="J321" t="s">
        <v>14</v>
      </c>
      <c r="M321" t="s">
        <v>15</v>
      </c>
      <c r="N321">
        <v>0</v>
      </c>
      <c r="O321">
        <v>0</v>
      </c>
      <c r="P321">
        <v>0</v>
      </c>
      <c r="Q321">
        <v>0</v>
      </c>
      <c r="R321">
        <v>0</v>
      </c>
      <c r="S321" s="453">
        <v>45827.022222222222</v>
      </c>
      <c r="T321" t="s">
        <v>41</v>
      </c>
      <c r="U321" t="s">
        <v>445</v>
      </c>
      <c r="V321" t="s">
        <v>607</v>
      </c>
    </row>
    <row r="322" spans="1:22">
      <c r="A322">
        <v>33</v>
      </c>
      <c r="B322" s="111">
        <v>46130</v>
      </c>
      <c r="C322" s="453">
        <v>46130.416666666664</v>
      </c>
      <c r="D322" s="453">
        <v>46130.625</v>
      </c>
      <c r="E322" s="453">
        <v>46130.708333333336</v>
      </c>
      <c r="F322" s="453">
        <v>46130.75</v>
      </c>
      <c r="G322" s="453">
        <v>46130.916666666664</v>
      </c>
      <c r="H322" t="s">
        <v>505</v>
      </c>
      <c r="I322" t="s">
        <v>49</v>
      </c>
      <c r="J322" t="s">
        <v>2</v>
      </c>
      <c r="M322" t="s">
        <v>443</v>
      </c>
      <c r="N322">
        <v>0</v>
      </c>
      <c r="O322">
        <v>0</v>
      </c>
      <c r="P322">
        <v>0</v>
      </c>
      <c r="Q322">
        <v>0</v>
      </c>
      <c r="R322">
        <v>0</v>
      </c>
      <c r="S322" s="453">
        <v>45827.022222222222</v>
      </c>
      <c r="T322" t="s">
        <v>41</v>
      </c>
      <c r="U322" t="s">
        <v>445</v>
      </c>
      <c r="V322" t="s">
        <v>607</v>
      </c>
    </row>
    <row r="323" spans="1:22">
      <c r="A323">
        <v>33</v>
      </c>
      <c r="B323" s="111">
        <v>46130</v>
      </c>
      <c r="C323" s="453">
        <v>46130.416666666664</v>
      </c>
      <c r="D323" s="453">
        <v>46130.625</v>
      </c>
      <c r="E323" s="453">
        <v>46130.708333333336</v>
      </c>
      <c r="F323" s="453">
        <v>46130.75</v>
      </c>
      <c r="G323" s="453">
        <v>46130.916666666664</v>
      </c>
      <c r="H323" t="s">
        <v>166</v>
      </c>
      <c r="I323" t="s">
        <v>172</v>
      </c>
      <c r="J323" t="s">
        <v>107</v>
      </c>
      <c r="M323" t="s">
        <v>108</v>
      </c>
      <c r="N323">
        <v>0</v>
      </c>
      <c r="O323">
        <v>0</v>
      </c>
      <c r="P323">
        <v>0</v>
      </c>
      <c r="Q323">
        <v>0</v>
      </c>
      <c r="R323">
        <v>0</v>
      </c>
      <c r="S323" s="453">
        <v>45827.022222222222</v>
      </c>
      <c r="T323" t="s">
        <v>41</v>
      </c>
      <c r="U323" t="s">
        <v>445</v>
      </c>
      <c r="V323" t="s">
        <v>607</v>
      </c>
    </row>
    <row r="324" spans="1:22">
      <c r="A324">
        <v>33</v>
      </c>
      <c r="B324" s="111">
        <v>46130</v>
      </c>
      <c r="C324" s="453">
        <v>46130.416666666664</v>
      </c>
      <c r="D324" s="453">
        <v>46130.625</v>
      </c>
      <c r="E324" s="453">
        <v>46130.708333333336</v>
      </c>
      <c r="F324" s="453">
        <v>46130.75</v>
      </c>
      <c r="G324" s="453">
        <v>46130.916666666664</v>
      </c>
      <c r="H324" t="s">
        <v>425</v>
      </c>
      <c r="I324" t="s">
        <v>51</v>
      </c>
      <c r="J324" t="s">
        <v>6</v>
      </c>
      <c r="M324" t="s">
        <v>11</v>
      </c>
      <c r="N324">
        <v>0</v>
      </c>
      <c r="O324">
        <v>0</v>
      </c>
      <c r="P324">
        <v>0</v>
      </c>
      <c r="Q324">
        <v>0</v>
      </c>
      <c r="R324">
        <v>0</v>
      </c>
      <c r="S324" s="453">
        <v>45827.022222222222</v>
      </c>
      <c r="T324" t="s">
        <v>41</v>
      </c>
      <c r="U324" t="s">
        <v>445</v>
      </c>
      <c r="V324" t="s">
        <v>607</v>
      </c>
    </row>
    <row r="325" spans="1:22">
      <c r="A325">
        <v>33</v>
      </c>
      <c r="B325" s="111">
        <v>46130</v>
      </c>
      <c r="C325" s="453">
        <v>46130.416666666664</v>
      </c>
      <c r="D325" s="453">
        <v>46130.625</v>
      </c>
      <c r="E325" s="453">
        <v>46130.708333333336</v>
      </c>
      <c r="F325" s="453">
        <v>46130.75</v>
      </c>
      <c r="G325" s="453">
        <v>46130.916666666664</v>
      </c>
      <c r="H325" t="s">
        <v>226</v>
      </c>
      <c r="I325" t="s">
        <v>44</v>
      </c>
      <c r="J325" t="s">
        <v>7</v>
      </c>
      <c r="M325" t="s">
        <v>14</v>
      </c>
      <c r="N325">
        <v>0</v>
      </c>
      <c r="O325">
        <v>0</v>
      </c>
      <c r="P325">
        <v>0</v>
      </c>
      <c r="Q325">
        <v>0</v>
      </c>
      <c r="R325">
        <v>0</v>
      </c>
      <c r="S325" s="453">
        <v>45827.022222222222</v>
      </c>
      <c r="T325" t="s">
        <v>41</v>
      </c>
      <c r="U325" t="s">
        <v>445</v>
      </c>
      <c r="V325" t="s">
        <v>607</v>
      </c>
    </row>
    <row r="326" spans="1:22">
      <c r="A326">
        <v>33</v>
      </c>
      <c r="B326" s="111">
        <v>46130</v>
      </c>
      <c r="C326" s="453">
        <v>46130.416666666664</v>
      </c>
      <c r="D326" s="453">
        <v>46130.625</v>
      </c>
      <c r="E326" s="453">
        <v>46130.708333333336</v>
      </c>
      <c r="F326" s="453">
        <v>46130.75</v>
      </c>
      <c r="G326" s="453">
        <v>46130.916666666664</v>
      </c>
      <c r="H326" t="s">
        <v>127</v>
      </c>
      <c r="I326" t="s">
        <v>452</v>
      </c>
      <c r="J326" t="s">
        <v>8</v>
      </c>
      <c r="M326" t="s">
        <v>9</v>
      </c>
      <c r="N326">
        <v>0</v>
      </c>
      <c r="O326">
        <v>0</v>
      </c>
      <c r="P326">
        <v>0</v>
      </c>
      <c r="Q326">
        <v>0</v>
      </c>
      <c r="R326">
        <v>0</v>
      </c>
      <c r="S326" s="453">
        <v>45827.022222222222</v>
      </c>
      <c r="T326" t="s">
        <v>41</v>
      </c>
      <c r="U326" t="s">
        <v>445</v>
      </c>
      <c r="V326" t="s">
        <v>607</v>
      </c>
    </row>
    <row r="327" spans="1:22">
      <c r="A327">
        <v>33</v>
      </c>
      <c r="B327" s="111">
        <v>46130</v>
      </c>
      <c r="C327" s="453">
        <v>46130.416666666664</v>
      </c>
      <c r="D327" s="453">
        <v>46130.625</v>
      </c>
      <c r="E327" s="453">
        <v>46130.708333333336</v>
      </c>
      <c r="F327" s="453">
        <v>46130.75</v>
      </c>
      <c r="G327" s="453">
        <v>46130.916666666664</v>
      </c>
      <c r="H327" t="s">
        <v>544</v>
      </c>
      <c r="I327" t="s">
        <v>449</v>
      </c>
      <c r="J327" t="s">
        <v>444</v>
      </c>
      <c r="M327" t="s">
        <v>15</v>
      </c>
      <c r="N327">
        <v>0</v>
      </c>
      <c r="O327">
        <v>0</v>
      </c>
      <c r="P327">
        <v>0</v>
      </c>
      <c r="Q327">
        <v>0</v>
      </c>
      <c r="R327">
        <v>0</v>
      </c>
      <c r="S327" s="453">
        <v>45827.022222222222</v>
      </c>
      <c r="T327" t="s">
        <v>41</v>
      </c>
      <c r="U327" t="s">
        <v>445</v>
      </c>
      <c r="V327" t="s">
        <v>607</v>
      </c>
    </row>
    <row r="328" spans="1:22">
      <c r="A328">
        <v>33</v>
      </c>
      <c r="B328" s="111">
        <v>46130</v>
      </c>
      <c r="C328" s="453">
        <v>46130.416666666664</v>
      </c>
      <c r="D328" s="453">
        <v>46130.625</v>
      </c>
      <c r="E328" s="453">
        <v>46130.708333333336</v>
      </c>
      <c r="F328" s="453">
        <v>46130.75</v>
      </c>
      <c r="G328" s="453">
        <v>46130.916666666664</v>
      </c>
      <c r="H328" t="s">
        <v>249</v>
      </c>
      <c r="I328" t="s">
        <v>50</v>
      </c>
      <c r="J328" t="s">
        <v>10</v>
      </c>
      <c r="M328" t="s">
        <v>1</v>
      </c>
      <c r="N328">
        <v>0</v>
      </c>
      <c r="O328">
        <v>0</v>
      </c>
      <c r="P328">
        <v>0</v>
      </c>
      <c r="Q328">
        <v>0</v>
      </c>
      <c r="R328">
        <v>0</v>
      </c>
      <c r="S328" s="453">
        <v>45827.022222222222</v>
      </c>
      <c r="T328" t="s">
        <v>41</v>
      </c>
      <c r="U328" t="s">
        <v>445</v>
      </c>
      <c r="V328" t="s">
        <v>607</v>
      </c>
    </row>
    <row r="329" spans="1:22">
      <c r="A329">
        <v>33</v>
      </c>
      <c r="B329" s="111">
        <v>46130</v>
      </c>
      <c r="C329" s="453">
        <v>46130.416666666664</v>
      </c>
      <c r="D329" s="453">
        <v>46130.625</v>
      </c>
      <c r="E329" s="453">
        <v>46130.708333333336</v>
      </c>
      <c r="F329" s="453">
        <v>46130.75</v>
      </c>
      <c r="G329" s="453">
        <v>46130.916666666664</v>
      </c>
      <c r="H329" t="s">
        <v>339</v>
      </c>
      <c r="I329" t="s">
        <v>46</v>
      </c>
      <c r="J329" t="s">
        <v>12</v>
      </c>
      <c r="M329" t="s">
        <v>3</v>
      </c>
      <c r="N329">
        <v>0</v>
      </c>
      <c r="O329">
        <v>0</v>
      </c>
      <c r="P329">
        <v>0</v>
      </c>
      <c r="Q329">
        <v>0</v>
      </c>
      <c r="R329">
        <v>0</v>
      </c>
      <c r="S329" s="453">
        <v>45827.022222222222</v>
      </c>
      <c r="T329" t="s">
        <v>41</v>
      </c>
      <c r="U329" t="s">
        <v>445</v>
      </c>
      <c r="V329" t="s">
        <v>607</v>
      </c>
    </row>
    <row r="330" spans="1:22">
      <c r="A330">
        <v>33</v>
      </c>
      <c r="B330" s="111">
        <v>46130</v>
      </c>
      <c r="C330" s="453">
        <v>46130.416666666664</v>
      </c>
      <c r="D330" s="453">
        <v>46130.625</v>
      </c>
      <c r="E330" s="453">
        <v>46130.708333333336</v>
      </c>
      <c r="F330" s="453">
        <v>46130.75</v>
      </c>
      <c r="G330" s="453">
        <v>46130.916666666664</v>
      </c>
      <c r="H330" t="s">
        <v>506</v>
      </c>
      <c r="I330" t="s">
        <v>158</v>
      </c>
      <c r="J330" t="s">
        <v>188</v>
      </c>
      <c r="M330" t="s">
        <v>5</v>
      </c>
      <c r="N330">
        <v>0</v>
      </c>
      <c r="O330">
        <v>0</v>
      </c>
      <c r="P330">
        <v>0</v>
      </c>
      <c r="Q330">
        <v>0</v>
      </c>
      <c r="R330">
        <v>0</v>
      </c>
      <c r="S330" s="453">
        <v>45827.022222222222</v>
      </c>
      <c r="T330" t="s">
        <v>41</v>
      </c>
      <c r="U330" t="s">
        <v>445</v>
      </c>
      <c r="V330" t="s">
        <v>607</v>
      </c>
    </row>
    <row r="331" spans="1:22">
      <c r="A331">
        <v>33</v>
      </c>
      <c r="B331" s="111">
        <v>46130</v>
      </c>
      <c r="C331" s="453">
        <v>46130.416666666664</v>
      </c>
      <c r="D331" s="453">
        <v>46130.625</v>
      </c>
      <c r="E331" s="453">
        <v>46130.708333333336</v>
      </c>
      <c r="F331" s="453">
        <v>46130.75</v>
      </c>
      <c r="G331" s="453">
        <v>46130.916666666664</v>
      </c>
      <c r="H331" t="s">
        <v>433</v>
      </c>
      <c r="I331" t="s">
        <v>45</v>
      </c>
      <c r="J331" t="s">
        <v>13</v>
      </c>
      <c r="M331" t="s">
        <v>4</v>
      </c>
      <c r="N331">
        <v>0</v>
      </c>
      <c r="O331">
        <v>0</v>
      </c>
      <c r="P331">
        <v>0</v>
      </c>
      <c r="Q331">
        <v>0</v>
      </c>
      <c r="R331">
        <v>0</v>
      </c>
      <c r="S331" s="453">
        <v>45827.022222222222</v>
      </c>
      <c r="T331" t="s">
        <v>41</v>
      </c>
      <c r="U331" t="s">
        <v>445</v>
      </c>
      <c r="V331" t="s">
        <v>607</v>
      </c>
    </row>
    <row r="332" spans="1:22">
      <c r="A332">
        <v>34</v>
      </c>
      <c r="B332" s="111">
        <v>46137</v>
      </c>
      <c r="C332" s="453">
        <v>46137.416666666664</v>
      </c>
      <c r="D332" s="453">
        <v>46137.625</v>
      </c>
      <c r="E332" s="453">
        <v>46137.708333333336</v>
      </c>
      <c r="F332" s="453">
        <v>46137.75</v>
      </c>
      <c r="G332" s="453">
        <v>46137.916666666664</v>
      </c>
      <c r="H332" t="s">
        <v>422</v>
      </c>
      <c r="I332" t="s">
        <v>48</v>
      </c>
      <c r="J332" t="s">
        <v>1</v>
      </c>
      <c r="M332" t="s">
        <v>12</v>
      </c>
      <c r="N332">
        <v>0</v>
      </c>
      <c r="O332">
        <v>0</v>
      </c>
      <c r="P332">
        <v>0</v>
      </c>
      <c r="Q332">
        <v>0</v>
      </c>
      <c r="R332">
        <v>0</v>
      </c>
      <c r="S332" s="453">
        <v>45827.022222222222</v>
      </c>
      <c r="T332" t="s">
        <v>41</v>
      </c>
      <c r="U332" t="s">
        <v>445</v>
      </c>
      <c r="V332" t="s">
        <v>607</v>
      </c>
    </row>
    <row r="333" spans="1:22">
      <c r="A333">
        <v>34</v>
      </c>
      <c r="B333" s="111">
        <v>46137</v>
      </c>
      <c r="C333" s="453">
        <v>46137.416666666664</v>
      </c>
      <c r="D333" s="453">
        <v>46137.625</v>
      </c>
      <c r="E333" s="453">
        <v>46137.708333333336</v>
      </c>
      <c r="F333" s="453">
        <v>46137.75</v>
      </c>
      <c r="G333" s="453">
        <v>46137.916666666664</v>
      </c>
      <c r="H333" t="s">
        <v>545</v>
      </c>
      <c r="I333" t="s">
        <v>43</v>
      </c>
      <c r="J333" t="s">
        <v>3</v>
      </c>
      <c r="M333" t="s">
        <v>444</v>
      </c>
      <c r="N333">
        <v>0</v>
      </c>
      <c r="O333">
        <v>0</v>
      </c>
      <c r="P333">
        <v>0</v>
      </c>
      <c r="Q333">
        <v>0</v>
      </c>
      <c r="R333">
        <v>0</v>
      </c>
      <c r="S333" s="453">
        <v>45827.022222222222</v>
      </c>
      <c r="T333" t="s">
        <v>41</v>
      </c>
      <c r="U333" t="s">
        <v>445</v>
      </c>
      <c r="V333" t="s">
        <v>607</v>
      </c>
    </row>
    <row r="334" spans="1:22">
      <c r="A334">
        <v>34</v>
      </c>
      <c r="B334" s="111">
        <v>46137</v>
      </c>
      <c r="C334" s="453">
        <v>46137.416666666664</v>
      </c>
      <c r="D334" s="453">
        <v>46137.625</v>
      </c>
      <c r="E334" s="453">
        <v>46137.708333333336</v>
      </c>
      <c r="F334" s="453">
        <v>46137.75</v>
      </c>
      <c r="G334" s="453">
        <v>46137.916666666664</v>
      </c>
      <c r="H334" t="s">
        <v>358</v>
      </c>
      <c r="I334" t="s">
        <v>217</v>
      </c>
      <c r="J334" t="s">
        <v>4</v>
      </c>
      <c r="M334" t="s">
        <v>6</v>
      </c>
      <c r="N334">
        <v>0</v>
      </c>
      <c r="O334">
        <v>0</v>
      </c>
      <c r="P334">
        <v>0</v>
      </c>
      <c r="Q334">
        <v>0</v>
      </c>
      <c r="R334">
        <v>0</v>
      </c>
      <c r="S334" s="453">
        <v>45827.022222222222</v>
      </c>
      <c r="T334" t="s">
        <v>41</v>
      </c>
      <c r="U334" t="s">
        <v>445</v>
      </c>
      <c r="V334" t="s">
        <v>607</v>
      </c>
    </row>
    <row r="335" spans="1:22">
      <c r="A335">
        <v>34</v>
      </c>
      <c r="B335" s="111">
        <v>46137</v>
      </c>
      <c r="C335" s="453">
        <v>46137.416666666664</v>
      </c>
      <c r="D335" s="453">
        <v>46137.625</v>
      </c>
      <c r="E335" s="453">
        <v>46137.708333333336</v>
      </c>
      <c r="F335" s="453">
        <v>46137.75</v>
      </c>
      <c r="G335" s="453">
        <v>46137.916666666664</v>
      </c>
      <c r="H335" t="s">
        <v>507</v>
      </c>
      <c r="I335" t="s">
        <v>451</v>
      </c>
      <c r="J335" t="s">
        <v>5</v>
      </c>
      <c r="M335" t="s">
        <v>10</v>
      </c>
      <c r="N335">
        <v>0</v>
      </c>
      <c r="O335">
        <v>0</v>
      </c>
      <c r="P335">
        <v>0</v>
      </c>
      <c r="Q335">
        <v>0</v>
      </c>
      <c r="R335">
        <v>0</v>
      </c>
      <c r="S335" s="453">
        <v>45827.022222222222</v>
      </c>
      <c r="T335" t="s">
        <v>41</v>
      </c>
      <c r="U335" t="s">
        <v>445</v>
      </c>
      <c r="V335" t="s">
        <v>607</v>
      </c>
    </row>
    <row r="336" spans="1:22">
      <c r="A336">
        <v>34</v>
      </c>
      <c r="B336" s="111">
        <v>46137</v>
      </c>
      <c r="C336" s="453">
        <v>46137.416666666664</v>
      </c>
      <c r="D336" s="453">
        <v>46137.625</v>
      </c>
      <c r="E336" s="453">
        <v>46137.708333333336</v>
      </c>
      <c r="F336" s="453">
        <v>46137.75</v>
      </c>
      <c r="G336" s="453">
        <v>46137.916666666664</v>
      </c>
      <c r="H336" t="s">
        <v>162</v>
      </c>
      <c r="I336" t="s">
        <v>157</v>
      </c>
      <c r="J336" t="s">
        <v>108</v>
      </c>
      <c r="M336" t="s">
        <v>2</v>
      </c>
      <c r="N336">
        <v>0</v>
      </c>
      <c r="O336">
        <v>0</v>
      </c>
      <c r="P336">
        <v>0</v>
      </c>
      <c r="Q336">
        <v>0</v>
      </c>
      <c r="R336">
        <v>0</v>
      </c>
      <c r="S336" s="453">
        <v>45827.022222222222</v>
      </c>
      <c r="T336" t="s">
        <v>41</v>
      </c>
      <c r="U336" t="s">
        <v>445</v>
      </c>
      <c r="V336" t="s">
        <v>607</v>
      </c>
    </row>
    <row r="337" spans="1:22">
      <c r="A337">
        <v>34</v>
      </c>
      <c r="B337" s="111">
        <v>46137</v>
      </c>
      <c r="C337" s="453">
        <v>46137.416666666664</v>
      </c>
      <c r="D337" s="453">
        <v>46137.625</v>
      </c>
      <c r="E337" s="453">
        <v>46137.708333333336</v>
      </c>
      <c r="F337" s="453">
        <v>46137.75</v>
      </c>
      <c r="G337" s="453">
        <v>46137.916666666664</v>
      </c>
      <c r="H337" t="s">
        <v>119</v>
      </c>
      <c r="I337" t="s">
        <v>40</v>
      </c>
      <c r="J337" t="s">
        <v>9</v>
      </c>
      <c r="M337" t="s">
        <v>7</v>
      </c>
      <c r="N337">
        <v>0</v>
      </c>
      <c r="O337">
        <v>0</v>
      </c>
      <c r="P337">
        <v>0</v>
      </c>
      <c r="Q337">
        <v>0</v>
      </c>
      <c r="R337">
        <v>0</v>
      </c>
      <c r="S337" s="453">
        <v>45827.022222222222</v>
      </c>
      <c r="T337" t="s">
        <v>41</v>
      </c>
      <c r="U337" t="s">
        <v>445</v>
      </c>
      <c r="V337" t="s">
        <v>607</v>
      </c>
    </row>
    <row r="338" spans="1:22">
      <c r="A338">
        <v>34</v>
      </c>
      <c r="B338" s="111">
        <v>46137</v>
      </c>
      <c r="C338" s="453">
        <v>46137.416666666664</v>
      </c>
      <c r="D338" s="453">
        <v>46137.625</v>
      </c>
      <c r="E338" s="453">
        <v>46137.708333333336</v>
      </c>
      <c r="F338" s="453">
        <v>46137.75</v>
      </c>
      <c r="G338" s="453">
        <v>46137.916666666664</v>
      </c>
      <c r="H338" t="s">
        <v>263</v>
      </c>
      <c r="I338" t="s">
        <v>47</v>
      </c>
      <c r="J338" t="s">
        <v>11</v>
      </c>
      <c r="M338" t="s">
        <v>107</v>
      </c>
      <c r="N338">
        <v>0</v>
      </c>
      <c r="O338">
        <v>0</v>
      </c>
      <c r="P338">
        <v>0</v>
      </c>
      <c r="Q338">
        <v>0</v>
      </c>
      <c r="R338">
        <v>0</v>
      </c>
      <c r="S338" s="453">
        <v>45827.022222222222</v>
      </c>
      <c r="T338" t="s">
        <v>41</v>
      </c>
      <c r="U338" t="s">
        <v>445</v>
      </c>
      <c r="V338" t="s">
        <v>607</v>
      </c>
    </row>
    <row r="339" spans="1:22">
      <c r="A339">
        <v>34</v>
      </c>
      <c r="B339" s="111">
        <v>46137</v>
      </c>
      <c r="C339" s="453">
        <v>46137.416666666664</v>
      </c>
      <c r="D339" s="453">
        <v>46137.625</v>
      </c>
      <c r="E339" s="453">
        <v>46137.708333333336</v>
      </c>
      <c r="F339" s="453">
        <v>46137.75</v>
      </c>
      <c r="G339" s="453">
        <v>46137.916666666664</v>
      </c>
      <c r="H339" t="s">
        <v>508</v>
      </c>
      <c r="I339" t="s">
        <v>448</v>
      </c>
      <c r="J339" t="s">
        <v>443</v>
      </c>
      <c r="M339" t="s">
        <v>188</v>
      </c>
      <c r="N339">
        <v>0</v>
      </c>
      <c r="O339">
        <v>0</v>
      </c>
      <c r="P339">
        <v>0</v>
      </c>
      <c r="Q339">
        <v>0</v>
      </c>
      <c r="R339">
        <v>0</v>
      </c>
      <c r="S339" s="453">
        <v>45827.022222222222</v>
      </c>
      <c r="T339" t="s">
        <v>41</v>
      </c>
      <c r="U339" t="s">
        <v>445</v>
      </c>
      <c r="V339" t="s">
        <v>607</v>
      </c>
    </row>
    <row r="340" spans="1:22">
      <c r="A340">
        <v>34</v>
      </c>
      <c r="B340" s="111">
        <v>46137</v>
      </c>
      <c r="C340" s="453">
        <v>46137.416666666664</v>
      </c>
      <c r="D340" s="453">
        <v>46137.625</v>
      </c>
      <c r="E340" s="453">
        <v>46137.708333333336</v>
      </c>
      <c r="F340" s="453">
        <v>46137.75</v>
      </c>
      <c r="G340" s="453">
        <v>46137.916666666664</v>
      </c>
      <c r="H340" t="s">
        <v>281</v>
      </c>
      <c r="I340" t="s">
        <v>42</v>
      </c>
      <c r="J340" t="s">
        <v>14</v>
      </c>
      <c r="M340" t="s">
        <v>8</v>
      </c>
      <c r="N340">
        <v>0</v>
      </c>
      <c r="O340">
        <v>0</v>
      </c>
      <c r="P340">
        <v>0</v>
      </c>
      <c r="Q340">
        <v>0</v>
      </c>
      <c r="R340">
        <v>0</v>
      </c>
      <c r="S340" s="453">
        <v>45827.022222222222</v>
      </c>
      <c r="T340" t="s">
        <v>41</v>
      </c>
      <c r="U340" t="s">
        <v>445</v>
      </c>
      <c r="V340" t="s">
        <v>607</v>
      </c>
    </row>
    <row r="341" spans="1:22">
      <c r="A341">
        <v>34</v>
      </c>
      <c r="B341" s="111">
        <v>46137</v>
      </c>
      <c r="C341" s="453">
        <v>46137.416666666664</v>
      </c>
      <c r="D341" s="453">
        <v>46137.625</v>
      </c>
      <c r="E341" s="453">
        <v>46137.708333333336</v>
      </c>
      <c r="F341" s="453">
        <v>46137.75</v>
      </c>
      <c r="G341" s="453">
        <v>46137.916666666664</v>
      </c>
      <c r="H341" t="s">
        <v>399</v>
      </c>
      <c r="I341" t="s">
        <v>52</v>
      </c>
      <c r="J341" t="s">
        <v>15</v>
      </c>
      <c r="M341" t="s">
        <v>13</v>
      </c>
      <c r="N341">
        <v>0</v>
      </c>
      <c r="O341">
        <v>0</v>
      </c>
      <c r="P341">
        <v>0</v>
      </c>
      <c r="Q341">
        <v>0</v>
      </c>
      <c r="R341">
        <v>0</v>
      </c>
      <c r="S341" s="453">
        <v>45827.022222222222</v>
      </c>
      <c r="T341" t="s">
        <v>41</v>
      </c>
      <c r="U341" t="s">
        <v>445</v>
      </c>
      <c r="V341" t="s">
        <v>607</v>
      </c>
    </row>
    <row r="342" spans="1:22">
      <c r="A342">
        <v>35</v>
      </c>
      <c r="B342" s="111">
        <v>46144</v>
      </c>
      <c r="C342" s="453">
        <v>46144.416666666664</v>
      </c>
      <c r="D342" s="453">
        <v>46144.625</v>
      </c>
      <c r="E342" s="453">
        <v>46144.708333333336</v>
      </c>
      <c r="F342" s="453">
        <v>46144.75</v>
      </c>
      <c r="G342" s="453">
        <v>46144.916666666664</v>
      </c>
      <c r="H342" t="s">
        <v>160</v>
      </c>
      <c r="I342" t="s">
        <v>48</v>
      </c>
      <c r="J342" t="s">
        <v>1</v>
      </c>
      <c r="M342" t="s">
        <v>108</v>
      </c>
      <c r="N342">
        <v>0</v>
      </c>
      <c r="O342">
        <v>0</v>
      </c>
      <c r="P342">
        <v>0</v>
      </c>
      <c r="Q342">
        <v>0</v>
      </c>
      <c r="R342">
        <v>0</v>
      </c>
      <c r="S342" s="453">
        <v>45827.022222222222</v>
      </c>
      <c r="T342" t="s">
        <v>41</v>
      </c>
      <c r="U342" t="s">
        <v>445</v>
      </c>
      <c r="V342" t="s">
        <v>607</v>
      </c>
    </row>
    <row r="343" spans="1:22">
      <c r="A343">
        <v>35</v>
      </c>
      <c r="B343" s="111">
        <v>46144</v>
      </c>
      <c r="C343" s="453">
        <v>46144.416666666664</v>
      </c>
      <c r="D343" s="453">
        <v>46144.625</v>
      </c>
      <c r="E343" s="453">
        <v>46144.708333333336</v>
      </c>
      <c r="F343" s="453">
        <v>46144.75</v>
      </c>
      <c r="G343" s="453">
        <v>46144.916666666664</v>
      </c>
      <c r="H343" t="s">
        <v>423</v>
      </c>
      <c r="I343" t="s">
        <v>49</v>
      </c>
      <c r="J343" t="s">
        <v>2</v>
      </c>
      <c r="M343" t="s">
        <v>13</v>
      </c>
      <c r="N343">
        <v>0</v>
      </c>
      <c r="O343">
        <v>0</v>
      </c>
      <c r="P343">
        <v>0</v>
      </c>
      <c r="Q343">
        <v>0</v>
      </c>
      <c r="R343">
        <v>0</v>
      </c>
      <c r="S343" s="453">
        <v>45827.022222222222</v>
      </c>
      <c r="T343" t="s">
        <v>41</v>
      </c>
      <c r="U343" t="s">
        <v>445</v>
      </c>
      <c r="V343" t="s">
        <v>607</v>
      </c>
    </row>
    <row r="344" spans="1:22">
      <c r="A344">
        <v>35</v>
      </c>
      <c r="B344" s="111">
        <v>46144</v>
      </c>
      <c r="C344" s="453">
        <v>46144.416666666664</v>
      </c>
      <c r="D344" s="453">
        <v>46144.625</v>
      </c>
      <c r="E344" s="453">
        <v>46144.708333333336</v>
      </c>
      <c r="F344" s="453">
        <v>46144.75</v>
      </c>
      <c r="G344" s="453">
        <v>46144.916666666664</v>
      </c>
      <c r="H344" t="s">
        <v>316</v>
      </c>
      <c r="I344" t="s">
        <v>43</v>
      </c>
      <c r="J344" t="s">
        <v>3</v>
      </c>
      <c r="M344" t="s">
        <v>7</v>
      </c>
      <c r="N344">
        <v>0</v>
      </c>
      <c r="O344">
        <v>0</v>
      </c>
      <c r="P344">
        <v>0</v>
      </c>
      <c r="Q344">
        <v>0</v>
      </c>
      <c r="R344">
        <v>0</v>
      </c>
      <c r="S344" s="453">
        <v>45827.022222222222</v>
      </c>
      <c r="T344" t="s">
        <v>41</v>
      </c>
      <c r="U344" t="s">
        <v>445</v>
      </c>
      <c r="V344" t="s">
        <v>607</v>
      </c>
    </row>
    <row r="345" spans="1:22">
      <c r="A345">
        <v>35</v>
      </c>
      <c r="B345" s="111">
        <v>46144</v>
      </c>
      <c r="C345" s="453">
        <v>46144.416666666664</v>
      </c>
      <c r="D345" s="453">
        <v>46144.625</v>
      </c>
      <c r="E345" s="453">
        <v>46144.708333333336</v>
      </c>
      <c r="F345" s="453">
        <v>46144.75</v>
      </c>
      <c r="G345" s="453">
        <v>46144.916666666664</v>
      </c>
      <c r="H345" t="s">
        <v>251</v>
      </c>
      <c r="I345" t="s">
        <v>172</v>
      </c>
      <c r="J345" t="s">
        <v>107</v>
      </c>
      <c r="M345" t="s">
        <v>14</v>
      </c>
      <c r="N345">
        <v>0</v>
      </c>
      <c r="O345">
        <v>0</v>
      </c>
      <c r="P345">
        <v>0</v>
      </c>
      <c r="Q345">
        <v>0</v>
      </c>
      <c r="R345">
        <v>0</v>
      </c>
      <c r="S345" s="453">
        <v>45827.022222222222</v>
      </c>
      <c r="T345" t="s">
        <v>41</v>
      </c>
      <c r="U345" t="s">
        <v>445</v>
      </c>
      <c r="V345" t="s">
        <v>607</v>
      </c>
    </row>
    <row r="346" spans="1:22">
      <c r="A346">
        <v>35</v>
      </c>
      <c r="B346" s="111">
        <v>46144</v>
      </c>
      <c r="C346" s="453">
        <v>46144.416666666664</v>
      </c>
      <c r="D346" s="453">
        <v>46144.625</v>
      </c>
      <c r="E346" s="453">
        <v>46144.708333333336</v>
      </c>
      <c r="F346" s="453">
        <v>46144.75</v>
      </c>
      <c r="G346" s="453">
        <v>46144.916666666664</v>
      </c>
      <c r="H346" t="s">
        <v>260</v>
      </c>
      <c r="I346" t="s">
        <v>51</v>
      </c>
      <c r="J346" t="s">
        <v>6</v>
      </c>
      <c r="M346" t="s">
        <v>188</v>
      </c>
      <c r="N346">
        <v>0</v>
      </c>
      <c r="O346">
        <v>0</v>
      </c>
      <c r="P346">
        <v>0</v>
      </c>
      <c r="Q346">
        <v>0</v>
      </c>
      <c r="R346">
        <v>0</v>
      </c>
      <c r="S346" s="453">
        <v>45827.022222222222</v>
      </c>
      <c r="T346" t="s">
        <v>41</v>
      </c>
      <c r="U346" t="s">
        <v>445</v>
      </c>
      <c r="V346" t="s">
        <v>607</v>
      </c>
    </row>
    <row r="347" spans="1:22">
      <c r="A347">
        <v>35</v>
      </c>
      <c r="B347" s="111">
        <v>46144</v>
      </c>
      <c r="C347" s="453">
        <v>46144.416666666664</v>
      </c>
      <c r="D347" s="453">
        <v>46144.625</v>
      </c>
      <c r="E347" s="453">
        <v>46144.708333333336</v>
      </c>
      <c r="F347" s="453">
        <v>46144.75</v>
      </c>
      <c r="G347" s="453">
        <v>46144.916666666664</v>
      </c>
      <c r="H347" t="s">
        <v>403</v>
      </c>
      <c r="I347" t="s">
        <v>452</v>
      </c>
      <c r="J347" t="s">
        <v>8</v>
      </c>
      <c r="M347" t="s">
        <v>10</v>
      </c>
      <c r="N347">
        <v>0</v>
      </c>
      <c r="O347">
        <v>0</v>
      </c>
      <c r="P347">
        <v>0</v>
      </c>
      <c r="Q347">
        <v>0</v>
      </c>
      <c r="R347">
        <v>0</v>
      </c>
      <c r="S347" s="453">
        <v>45827.022222222222</v>
      </c>
      <c r="T347" t="s">
        <v>41</v>
      </c>
      <c r="U347" t="s">
        <v>445</v>
      </c>
      <c r="V347" t="s">
        <v>607</v>
      </c>
    </row>
    <row r="348" spans="1:22">
      <c r="A348">
        <v>35</v>
      </c>
      <c r="B348" s="111">
        <v>46144</v>
      </c>
      <c r="C348" s="453">
        <v>46144.416666666664</v>
      </c>
      <c r="D348" s="453">
        <v>46144.625</v>
      </c>
      <c r="E348" s="453">
        <v>46144.708333333336</v>
      </c>
      <c r="F348" s="453">
        <v>46144.75</v>
      </c>
      <c r="G348" s="453">
        <v>46144.916666666664</v>
      </c>
      <c r="H348" t="s">
        <v>546</v>
      </c>
      <c r="I348" t="s">
        <v>449</v>
      </c>
      <c r="J348" t="s">
        <v>444</v>
      </c>
      <c r="M348" t="s">
        <v>5</v>
      </c>
      <c r="N348">
        <v>0</v>
      </c>
      <c r="O348">
        <v>0</v>
      </c>
      <c r="P348">
        <v>0</v>
      </c>
      <c r="Q348">
        <v>0</v>
      </c>
      <c r="R348">
        <v>0</v>
      </c>
      <c r="S348" s="453">
        <v>45827.022222222222</v>
      </c>
      <c r="T348" t="s">
        <v>41</v>
      </c>
      <c r="U348" t="s">
        <v>445</v>
      </c>
      <c r="V348" t="s">
        <v>607</v>
      </c>
    </row>
    <row r="349" spans="1:22">
      <c r="A349">
        <v>35</v>
      </c>
      <c r="B349" s="111">
        <v>46144</v>
      </c>
      <c r="C349" s="453">
        <v>46144.416666666664</v>
      </c>
      <c r="D349" s="453">
        <v>46144.625</v>
      </c>
      <c r="E349" s="453">
        <v>46144.708333333336</v>
      </c>
      <c r="F349" s="453">
        <v>46144.75</v>
      </c>
      <c r="G349" s="453">
        <v>46144.916666666664</v>
      </c>
      <c r="H349" t="s">
        <v>235</v>
      </c>
      <c r="I349" t="s">
        <v>47</v>
      </c>
      <c r="J349" t="s">
        <v>11</v>
      </c>
      <c r="M349" t="s">
        <v>9</v>
      </c>
      <c r="N349">
        <v>0</v>
      </c>
      <c r="O349">
        <v>0</v>
      </c>
      <c r="P349">
        <v>0</v>
      </c>
      <c r="Q349">
        <v>0</v>
      </c>
      <c r="R349">
        <v>0</v>
      </c>
      <c r="S349" s="453">
        <v>45827.022222222222</v>
      </c>
      <c r="T349" t="s">
        <v>41</v>
      </c>
      <c r="U349" t="s">
        <v>445</v>
      </c>
      <c r="V349" t="s">
        <v>607</v>
      </c>
    </row>
    <row r="350" spans="1:22">
      <c r="A350">
        <v>35</v>
      </c>
      <c r="B350" s="111">
        <v>46144</v>
      </c>
      <c r="C350" s="453">
        <v>46144.416666666664</v>
      </c>
      <c r="D350" s="453">
        <v>46144.625</v>
      </c>
      <c r="E350" s="453">
        <v>46144.708333333336</v>
      </c>
      <c r="F350" s="453">
        <v>46144.75</v>
      </c>
      <c r="G350" s="453">
        <v>46144.916666666664</v>
      </c>
      <c r="H350" t="s">
        <v>264</v>
      </c>
      <c r="I350" t="s">
        <v>46</v>
      </c>
      <c r="J350" t="s">
        <v>12</v>
      </c>
      <c r="M350" t="s">
        <v>4</v>
      </c>
      <c r="N350">
        <v>0</v>
      </c>
      <c r="O350">
        <v>0</v>
      </c>
      <c r="P350">
        <v>0</v>
      </c>
      <c r="Q350">
        <v>0</v>
      </c>
      <c r="R350">
        <v>0</v>
      </c>
      <c r="S350" s="453">
        <v>45827.022222222222</v>
      </c>
      <c r="T350" t="s">
        <v>41</v>
      </c>
      <c r="U350" t="s">
        <v>445</v>
      </c>
      <c r="V350" t="s">
        <v>607</v>
      </c>
    </row>
    <row r="351" spans="1:22">
      <c r="A351">
        <v>35</v>
      </c>
      <c r="B351" s="111">
        <v>46144</v>
      </c>
      <c r="C351" s="453">
        <v>46144.416666666664</v>
      </c>
      <c r="D351" s="453">
        <v>46144.625</v>
      </c>
      <c r="E351" s="453">
        <v>46144.708333333336</v>
      </c>
      <c r="F351" s="453">
        <v>46144.75</v>
      </c>
      <c r="G351" s="453">
        <v>46144.916666666664</v>
      </c>
      <c r="H351" t="s">
        <v>509</v>
      </c>
      <c r="I351" t="s">
        <v>52</v>
      </c>
      <c r="J351" t="s">
        <v>15</v>
      </c>
      <c r="M351" t="s">
        <v>443</v>
      </c>
      <c r="N351">
        <v>0</v>
      </c>
      <c r="O351">
        <v>0</v>
      </c>
      <c r="P351">
        <v>0</v>
      </c>
      <c r="Q351">
        <v>0</v>
      </c>
      <c r="R351">
        <v>0</v>
      </c>
      <c r="S351" s="453">
        <v>45827.022222222222</v>
      </c>
      <c r="T351" t="s">
        <v>41</v>
      </c>
      <c r="U351" t="s">
        <v>445</v>
      </c>
      <c r="V351" t="s">
        <v>607</v>
      </c>
    </row>
    <row r="352" spans="1:22">
      <c r="A352">
        <v>36</v>
      </c>
      <c r="B352" s="111">
        <v>46151</v>
      </c>
      <c r="C352" s="453">
        <v>46151.416666666664</v>
      </c>
      <c r="D352" s="453">
        <v>46151.625</v>
      </c>
      <c r="E352" s="453">
        <v>46151.708333333336</v>
      </c>
      <c r="F352" s="453">
        <v>46151.75</v>
      </c>
      <c r="G352" s="453">
        <v>46151.916666666664</v>
      </c>
      <c r="H352" t="s">
        <v>269</v>
      </c>
      <c r="I352" t="s">
        <v>217</v>
      </c>
      <c r="J352" t="s">
        <v>4</v>
      </c>
      <c r="M352" t="s">
        <v>15</v>
      </c>
      <c r="N352">
        <v>0</v>
      </c>
      <c r="O352">
        <v>0</v>
      </c>
      <c r="P352">
        <v>0</v>
      </c>
      <c r="Q352">
        <v>0</v>
      </c>
      <c r="R352">
        <v>0</v>
      </c>
      <c r="S352" s="453">
        <v>45827.31527777778</v>
      </c>
      <c r="T352" t="s">
        <v>41</v>
      </c>
      <c r="U352" t="s">
        <v>445</v>
      </c>
      <c r="V352" t="s">
        <v>607</v>
      </c>
    </row>
    <row r="353" spans="1:22">
      <c r="A353">
        <v>36</v>
      </c>
      <c r="B353" s="111">
        <v>46151</v>
      </c>
      <c r="C353" s="453">
        <v>46151.416666666664</v>
      </c>
      <c r="D353" s="453">
        <v>46151.625</v>
      </c>
      <c r="E353" s="453">
        <v>46151.708333333336</v>
      </c>
      <c r="F353" s="453">
        <v>46151.75</v>
      </c>
      <c r="G353" s="453">
        <v>46151.916666666664</v>
      </c>
      <c r="H353" t="s">
        <v>555</v>
      </c>
      <c r="I353" t="s">
        <v>451</v>
      </c>
      <c r="J353" t="s">
        <v>5</v>
      </c>
      <c r="M353" t="s">
        <v>2</v>
      </c>
      <c r="N353">
        <v>0</v>
      </c>
      <c r="O353">
        <v>0</v>
      </c>
      <c r="P353">
        <v>0</v>
      </c>
      <c r="Q353">
        <v>0</v>
      </c>
      <c r="R353">
        <v>0</v>
      </c>
      <c r="S353" s="453">
        <v>45827.31527777778</v>
      </c>
      <c r="T353" t="s">
        <v>41</v>
      </c>
      <c r="U353" t="s">
        <v>445</v>
      </c>
      <c r="V353" t="s">
        <v>607</v>
      </c>
    </row>
    <row r="354" spans="1:22">
      <c r="A354">
        <v>36</v>
      </c>
      <c r="B354" s="111">
        <v>46151</v>
      </c>
      <c r="C354" s="453">
        <v>46151.416666666664</v>
      </c>
      <c r="D354" s="453">
        <v>46151.625</v>
      </c>
      <c r="E354" s="453">
        <v>46151.708333333336</v>
      </c>
      <c r="F354" s="453">
        <v>46151.75</v>
      </c>
      <c r="G354" s="453">
        <v>46151.916666666664</v>
      </c>
      <c r="H354" t="s">
        <v>129</v>
      </c>
      <c r="I354" t="s">
        <v>44</v>
      </c>
      <c r="J354" t="s">
        <v>7</v>
      </c>
      <c r="M354" t="s">
        <v>8</v>
      </c>
      <c r="N354">
        <v>0</v>
      </c>
      <c r="O354">
        <v>0</v>
      </c>
      <c r="P354">
        <v>0</v>
      </c>
      <c r="Q354">
        <v>0</v>
      </c>
      <c r="R354">
        <v>0</v>
      </c>
      <c r="S354" s="453">
        <v>45827.31527777778</v>
      </c>
      <c r="T354" t="s">
        <v>41</v>
      </c>
      <c r="U354" t="s">
        <v>445</v>
      </c>
      <c r="V354" t="s">
        <v>607</v>
      </c>
    </row>
    <row r="355" spans="1:22">
      <c r="A355">
        <v>36</v>
      </c>
      <c r="B355" s="111">
        <v>46151</v>
      </c>
      <c r="C355" s="453">
        <v>46151.416666666664</v>
      </c>
      <c r="D355" s="453">
        <v>46151.625</v>
      </c>
      <c r="E355" s="453">
        <v>46151.708333333336</v>
      </c>
      <c r="F355" s="453">
        <v>46151.75</v>
      </c>
      <c r="G355" s="453">
        <v>46151.916666666664</v>
      </c>
      <c r="H355" t="s">
        <v>322</v>
      </c>
      <c r="I355" t="s">
        <v>157</v>
      </c>
      <c r="J355" t="s">
        <v>108</v>
      </c>
      <c r="M355" t="s">
        <v>3</v>
      </c>
      <c r="N355">
        <v>0</v>
      </c>
      <c r="O355">
        <v>0</v>
      </c>
      <c r="P355">
        <v>0</v>
      </c>
      <c r="Q355">
        <v>0</v>
      </c>
      <c r="R355">
        <v>0</v>
      </c>
      <c r="S355" s="453">
        <v>45827.31527777778</v>
      </c>
      <c r="T355" t="s">
        <v>41</v>
      </c>
      <c r="U355" t="s">
        <v>445</v>
      </c>
      <c r="V355" t="s">
        <v>607</v>
      </c>
    </row>
    <row r="356" spans="1:22">
      <c r="A356">
        <v>36</v>
      </c>
      <c r="B356" s="111">
        <v>46151</v>
      </c>
      <c r="C356" s="453">
        <v>46151.416666666664</v>
      </c>
      <c r="D356" s="453">
        <v>46151.625</v>
      </c>
      <c r="E356" s="453">
        <v>46151.708333333336</v>
      </c>
      <c r="F356" s="453">
        <v>46151.75</v>
      </c>
      <c r="G356" s="453">
        <v>46151.916666666664</v>
      </c>
      <c r="H356" t="s">
        <v>116</v>
      </c>
      <c r="I356" t="s">
        <v>40</v>
      </c>
      <c r="J356" t="s">
        <v>9</v>
      </c>
      <c r="M356" t="s">
        <v>6</v>
      </c>
      <c r="N356">
        <v>0</v>
      </c>
      <c r="O356">
        <v>0</v>
      </c>
      <c r="P356">
        <v>0</v>
      </c>
      <c r="Q356">
        <v>0</v>
      </c>
      <c r="R356">
        <v>0</v>
      </c>
      <c r="S356" s="453">
        <v>45827.31527777778</v>
      </c>
      <c r="T356" t="s">
        <v>41</v>
      </c>
      <c r="U356" t="s">
        <v>445</v>
      </c>
      <c r="V356" t="s">
        <v>607</v>
      </c>
    </row>
    <row r="357" spans="1:22">
      <c r="A357">
        <v>36</v>
      </c>
      <c r="B357" s="111">
        <v>46151</v>
      </c>
      <c r="C357" s="453">
        <v>46151.416666666664</v>
      </c>
      <c r="D357" s="453">
        <v>46151.625</v>
      </c>
      <c r="E357" s="453">
        <v>46151.708333333336</v>
      </c>
      <c r="F357" s="453">
        <v>46151.75</v>
      </c>
      <c r="G357" s="453">
        <v>46151.916666666664</v>
      </c>
      <c r="H357" t="s">
        <v>238</v>
      </c>
      <c r="I357" t="s">
        <v>50</v>
      </c>
      <c r="J357" t="s">
        <v>10</v>
      </c>
      <c r="M357" t="s">
        <v>107</v>
      </c>
      <c r="N357">
        <v>0</v>
      </c>
      <c r="O357">
        <v>0</v>
      </c>
      <c r="P357">
        <v>0</v>
      </c>
      <c r="Q357">
        <v>0</v>
      </c>
      <c r="R357">
        <v>0</v>
      </c>
      <c r="S357" s="453">
        <v>45827.31527777778</v>
      </c>
      <c r="T357" t="s">
        <v>41</v>
      </c>
      <c r="U357" t="s">
        <v>445</v>
      </c>
      <c r="V357" t="s">
        <v>607</v>
      </c>
    </row>
    <row r="358" spans="1:22">
      <c r="A358">
        <v>36</v>
      </c>
      <c r="B358" s="111">
        <v>46151</v>
      </c>
      <c r="C358" s="453">
        <v>46151.416666666664</v>
      </c>
      <c r="D358" s="453">
        <v>46151.625</v>
      </c>
      <c r="E358" s="453">
        <v>46151.708333333336</v>
      </c>
      <c r="F358" s="453">
        <v>46151.75</v>
      </c>
      <c r="G358" s="453">
        <v>46151.916666666664</v>
      </c>
      <c r="H358" t="s">
        <v>283</v>
      </c>
      <c r="I358" t="s">
        <v>158</v>
      </c>
      <c r="J358" t="s">
        <v>188</v>
      </c>
      <c r="M358" t="s">
        <v>12</v>
      </c>
      <c r="N358">
        <v>0</v>
      </c>
      <c r="O358">
        <v>0</v>
      </c>
      <c r="P358">
        <v>0</v>
      </c>
      <c r="Q358">
        <v>0</v>
      </c>
      <c r="R358">
        <v>0</v>
      </c>
      <c r="S358" s="453">
        <v>45827.31527777778</v>
      </c>
      <c r="T358" t="s">
        <v>41</v>
      </c>
      <c r="U358" t="s">
        <v>445</v>
      </c>
      <c r="V358" t="s">
        <v>607</v>
      </c>
    </row>
    <row r="359" spans="1:22">
      <c r="A359">
        <v>36</v>
      </c>
      <c r="B359" s="111">
        <v>46151</v>
      </c>
      <c r="C359" s="453">
        <v>46151.416666666664</v>
      </c>
      <c r="D359" s="453">
        <v>46151.625</v>
      </c>
      <c r="E359" s="453">
        <v>46151.708333333336</v>
      </c>
      <c r="F359" s="453">
        <v>46151.75</v>
      </c>
      <c r="G359" s="453">
        <v>46151.916666666664</v>
      </c>
      <c r="H359" t="s">
        <v>556</v>
      </c>
      <c r="I359" t="s">
        <v>45</v>
      </c>
      <c r="J359" t="s">
        <v>13</v>
      </c>
      <c r="M359" t="s">
        <v>444</v>
      </c>
      <c r="N359">
        <v>0</v>
      </c>
      <c r="O359">
        <v>0</v>
      </c>
      <c r="P359">
        <v>0</v>
      </c>
      <c r="Q359">
        <v>0</v>
      </c>
      <c r="R359">
        <v>0</v>
      </c>
      <c r="S359" s="453">
        <v>45827.31527777778</v>
      </c>
      <c r="T359" t="s">
        <v>41</v>
      </c>
      <c r="U359" t="s">
        <v>445</v>
      </c>
      <c r="V359" t="s">
        <v>607</v>
      </c>
    </row>
    <row r="360" spans="1:22">
      <c r="A360">
        <v>36</v>
      </c>
      <c r="B360" s="111">
        <v>46151</v>
      </c>
      <c r="C360" s="453">
        <v>46151.416666666664</v>
      </c>
      <c r="D360" s="453">
        <v>46151.625</v>
      </c>
      <c r="E360" s="453">
        <v>46151.708333333336</v>
      </c>
      <c r="F360" s="453">
        <v>46151.75</v>
      </c>
      <c r="G360" s="453">
        <v>46151.916666666664</v>
      </c>
      <c r="H360" t="s">
        <v>557</v>
      </c>
      <c r="I360" t="s">
        <v>448</v>
      </c>
      <c r="J360" t="s">
        <v>443</v>
      </c>
      <c r="M360" t="s">
        <v>11</v>
      </c>
      <c r="N360">
        <v>0</v>
      </c>
      <c r="O360">
        <v>0</v>
      </c>
      <c r="P360">
        <v>0</v>
      </c>
      <c r="Q360">
        <v>0</v>
      </c>
      <c r="R360">
        <v>0</v>
      </c>
      <c r="S360" s="453">
        <v>45827.31527777778</v>
      </c>
      <c r="T360" t="s">
        <v>41</v>
      </c>
      <c r="U360" t="s">
        <v>445</v>
      </c>
      <c r="V360" t="s">
        <v>607</v>
      </c>
    </row>
    <row r="361" spans="1:22">
      <c r="A361">
        <v>36</v>
      </c>
      <c r="B361" s="111">
        <v>46151</v>
      </c>
      <c r="C361" s="453">
        <v>46151.416666666664</v>
      </c>
      <c r="D361" s="453">
        <v>46151.625</v>
      </c>
      <c r="E361" s="453">
        <v>46151.708333333336</v>
      </c>
      <c r="F361" s="453">
        <v>46151.75</v>
      </c>
      <c r="G361" s="453">
        <v>46151.916666666664</v>
      </c>
      <c r="H361" t="s">
        <v>291</v>
      </c>
      <c r="I361" t="s">
        <v>42</v>
      </c>
      <c r="J361" t="s">
        <v>14</v>
      </c>
      <c r="M361" t="s">
        <v>1</v>
      </c>
      <c r="N361">
        <v>0</v>
      </c>
      <c r="O361">
        <v>0</v>
      </c>
      <c r="P361">
        <v>0</v>
      </c>
      <c r="Q361">
        <v>0</v>
      </c>
      <c r="R361">
        <v>0</v>
      </c>
      <c r="S361" s="453">
        <v>45827.31527777778</v>
      </c>
      <c r="T361" t="s">
        <v>41</v>
      </c>
      <c r="U361" t="s">
        <v>445</v>
      </c>
      <c r="V361" t="s">
        <v>607</v>
      </c>
    </row>
    <row r="362" spans="1:22">
      <c r="A362">
        <v>37</v>
      </c>
      <c r="B362" s="111">
        <v>46159</v>
      </c>
      <c r="C362" s="453">
        <v>46159.416666666664</v>
      </c>
      <c r="D362" s="453">
        <v>46159.625</v>
      </c>
      <c r="E362" s="453">
        <v>46159.708333333336</v>
      </c>
      <c r="F362" s="453">
        <v>46159.75</v>
      </c>
      <c r="G362" s="453">
        <v>46159.916666666664</v>
      </c>
      <c r="H362" t="s">
        <v>510</v>
      </c>
      <c r="I362" t="s">
        <v>48</v>
      </c>
      <c r="J362" t="s">
        <v>1</v>
      </c>
      <c r="M362" t="s">
        <v>5</v>
      </c>
      <c r="N362">
        <v>0</v>
      </c>
      <c r="O362">
        <v>0</v>
      </c>
      <c r="P362">
        <v>0</v>
      </c>
      <c r="Q362">
        <v>0</v>
      </c>
      <c r="R362">
        <v>0</v>
      </c>
      <c r="S362" s="453">
        <v>45827.022916666669</v>
      </c>
      <c r="T362" t="s">
        <v>41</v>
      </c>
      <c r="U362" t="s">
        <v>445</v>
      </c>
      <c r="V362" t="s">
        <v>607</v>
      </c>
    </row>
    <row r="363" spans="1:22">
      <c r="A363">
        <v>37</v>
      </c>
      <c r="B363" s="111">
        <v>46159</v>
      </c>
      <c r="C363" s="453">
        <v>46159.416666666664</v>
      </c>
      <c r="D363" s="453">
        <v>46159.625</v>
      </c>
      <c r="E363" s="453">
        <v>46159.708333333336</v>
      </c>
      <c r="F363" s="453">
        <v>46159.75</v>
      </c>
      <c r="G363" s="453">
        <v>46159.916666666664</v>
      </c>
      <c r="H363" t="s">
        <v>146</v>
      </c>
      <c r="I363" t="s">
        <v>49</v>
      </c>
      <c r="J363" t="s">
        <v>2</v>
      </c>
      <c r="M363" t="s">
        <v>9</v>
      </c>
      <c r="N363">
        <v>0</v>
      </c>
      <c r="O363">
        <v>0</v>
      </c>
      <c r="P363">
        <v>0</v>
      </c>
      <c r="Q363">
        <v>0</v>
      </c>
      <c r="R363">
        <v>0</v>
      </c>
      <c r="S363" s="453">
        <v>45827.022916666669</v>
      </c>
      <c r="T363" t="s">
        <v>41</v>
      </c>
      <c r="U363" t="s">
        <v>445</v>
      </c>
      <c r="V363" t="s">
        <v>607</v>
      </c>
    </row>
    <row r="364" spans="1:22">
      <c r="A364">
        <v>37</v>
      </c>
      <c r="B364" s="111">
        <v>46159</v>
      </c>
      <c r="C364" s="453">
        <v>46159.416666666664</v>
      </c>
      <c r="D364" s="453">
        <v>46159.625</v>
      </c>
      <c r="E364" s="453">
        <v>46159.708333333336</v>
      </c>
      <c r="F364" s="453">
        <v>46159.75</v>
      </c>
      <c r="G364" s="453">
        <v>46159.916666666664</v>
      </c>
      <c r="H364" t="s">
        <v>274</v>
      </c>
      <c r="I364" t="s">
        <v>43</v>
      </c>
      <c r="J364" t="s">
        <v>3</v>
      </c>
      <c r="M364" t="s">
        <v>10</v>
      </c>
      <c r="N364">
        <v>0</v>
      </c>
      <c r="O364">
        <v>0</v>
      </c>
      <c r="P364">
        <v>0</v>
      </c>
      <c r="Q364">
        <v>0</v>
      </c>
      <c r="R364">
        <v>0</v>
      </c>
      <c r="S364" s="453">
        <v>45827.022916666669</v>
      </c>
      <c r="T364" t="s">
        <v>41</v>
      </c>
      <c r="U364" t="s">
        <v>445</v>
      </c>
      <c r="V364" t="s">
        <v>607</v>
      </c>
    </row>
    <row r="365" spans="1:22">
      <c r="A365">
        <v>37</v>
      </c>
      <c r="B365" s="111">
        <v>46159</v>
      </c>
      <c r="C365" s="453">
        <v>46159.416666666664</v>
      </c>
      <c r="D365" s="453">
        <v>46159.625</v>
      </c>
      <c r="E365" s="453">
        <v>46159.708333333336</v>
      </c>
      <c r="F365" s="453">
        <v>46159.75</v>
      </c>
      <c r="G365" s="453">
        <v>46159.916666666664</v>
      </c>
      <c r="H365" t="s">
        <v>138</v>
      </c>
      <c r="I365" t="s">
        <v>172</v>
      </c>
      <c r="J365" t="s">
        <v>107</v>
      </c>
      <c r="M365" t="s">
        <v>7</v>
      </c>
      <c r="N365">
        <v>0</v>
      </c>
      <c r="O365">
        <v>0</v>
      </c>
      <c r="P365">
        <v>0</v>
      </c>
      <c r="Q365">
        <v>0</v>
      </c>
      <c r="R365">
        <v>0</v>
      </c>
      <c r="S365" s="453">
        <v>45827.022916666669</v>
      </c>
      <c r="T365" t="s">
        <v>41</v>
      </c>
      <c r="U365" t="s">
        <v>445</v>
      </c>
      <c r="V365" t="s">
        <v>607</v>
      </c>
    </row>
    <row r="366" spans="1:22">
      <c r="A366">
        <v>37</v>
      </c>
      <c r="B366" s="111">
        <v>46159</v>
      </c>
      <c r="C366" s="453">
        <v>46159.416666666664</v>
      </c>
      <c r="D366" s="453">
        <v>46159.625</v>
      </c>
      <c r="E366" s="453">
        <v>46159.708333333336</v>
      </c>
      <c r="F366" s="453">
        <v>46159.75</v>
      </c>
      <c r="G366" s="453">
        <v>46159.916666666664</v>
      </c>
      <c r="H366" t="s">
        <v>388</v>
      </c>
      <c r="I366" t="s">
        <v>51</v>
      </c>
      <c r="J366" t="s">
        <v>6</v>
      </c>
      <c r="M366" t="s">
        <v>13</v>
      </c>
      <c r="N366">
        <v>0</v>
      </c>
      <c r="O366">
        <v>0</v>
      </c>
      <c r="P366">
        <v>0</v>
      </c>
      <c r="Q366">
        <v>0</v>
      </c>
      <c r="R366">
        <v>0</v>
      </c>
      <c r="S366" s="453">
        <v>45827.022916666669</v>
      </c>
      <c r="T366" t="s">
        <v>41</v>
      </c>
      <c r="U366" t="s">
        <v>445</v>
      </c>
      <c r="V366" t="s">
        <v>607</v>
      </c>
    </row>
    <row r="367" spans="1:22">
      <c r="A367">
        <v>37</v>
      </c>
      <c r="B367" s="111">
        <v>46159</v>
      </c>
      <c r="C367" s="453">
        <v>46159.416666666664</v>
      </c>
      <c r="D367" s="453">
        <v>46159.625</v>
      </c>
      <c r="E367" s="453">
        <v>46159.708333333336</v>
      </c>
      <c r="F367" s="453">
        <v>46159.75</v>
      </c>
      <c r="G367" s="453">
        <v>46159.916666666664</v>
      </c>
      <c r="H367" t="s">
        <v>511</v>
      </c>
      <c r="I367" t="s">
        <v>452</v>
      </c>
      <c r="J367" t="s">
        <v>8</v>
      </c>
      <c r="M367" t="s">
        <v>443</v>
      </c>
      <c r="N367">
        <v>0</v>
      </c>
      <c r="O367">
        <v>0</v>
      </c>
      <c r="P367">
        <v>0</v>
      </c>
      <c r="Q367">
        <v>0</v>
      </c>
      <c r="R367">
        <v>0</v>
      </c>
      <c r="S367" s="453">
        <v>45827.022916666669</v>
      </c>
      <c r="T367" t="s">
        <v>41</v>
      </c>
      <c r="U367" t="s">
        <v>445</v>
      </c>
      <c r="V367" t="s">
        <v>607</v>
      </c>
    </row>
    <row r="368" spans="1:22">
      <c r="A368">
        <v>37</v>
      </c>
      <c r="B368" s="111">
        <v>46159</v>
      </c>
      <c r="C368" s="453">
        <v>46159.416666666664</v>
      </c>
      <c r="D368" s="453">
        <v>46159.625</v>
      </c>
      <c r="E368" s="453">
        <v>46159.708333333336</v>
      </c>
      <c r="F368" s="453">
        <v>46159.75</v>
      </c>
      <c r="G368" s="453">
        <v>46159.916666666664</v>
      </c>
      <c r="H368" t="s">
        <v>547</v>
      </c>
      <c r="I368" t="s">
        <v>449</v>
      </c>
      <c r="J368" t="s">
        <v>444</v>
      </c>
      <c r="M368" t="s">
        <v>4</v>
      </c>
      <c r="N368">
        <v>0</v>
      </c>
      <c r="O368">
        <v>0</v>
      </c>
      <c r="P368">
        <v>0</v>
      </c>
      <c r="Q368">
        <v>0</v>
      </c>
      <c r="R368">
        <v>0</v>
      </c>
      <c r="S368" s="453">
        <v>45827.022916666669</v>
      </c>
      <c r="T368" t="s">
        <v>41</v>
      </c>
      <c r="U368" t="s">
        <v>445</v>
      </c>
      <c r="V368" t="s">
        <v>607</v>
      </c>
    </row>
    <row r="369" spans="1:22">
      <c r="A369">
        <v>37</v>
      </c>
      <c r="B369" s="111">
        <v>46159</v>
      </c>
      <c r="C369" s="453">
        <v>46159.416666666664</v>
      </c>
      <c r="D369" s="453">
        <v>46159.625</v>
      </c>
      <c r="E369" s="453">
        <v>46159.708333333336</v>
      </c>
      <c r="F369" s="453">
        <v>46159.75</v>
      </c>
      <c r="G369" s="453">
        <v>46159.916666666664</v>
      </c>
      <c r="H369" t="s">
        <v>303</v>
      </c>
      <c r="I369" t="s">
        <v>47</v>
      </c>
      <c r="J369" t="s">
        <v>11</v>
      </c>
      <c r="M369" t="s">
        <v>188</v>
      </c>
      <c r="N369">
        <v>0</v>
      </c>
      <c r="O369">
        <v>0</v>
      </c>
      <c r="P369">
        <v>0</v>
      </c>
      <c r="Q369">
        <v>0</v>
      </c>
      <c r="R369">
        <v>0</v>
      </c>
      <c r="S369" s="453">
        <v>45827.022916666669</v>
      </c>
      <c r="T369" t="s">
        <v>41</v>
      </c>
      <c r="U369" t="s">
        <v>445</v>
      </c>
      <c r="V369" t="s">
        <v>607</v>
      </c>
    </row>
    <row r="370" spans="1:22">
      <c r="A370">
        <v>37</v>
      </c>
      <c r="B370" s="111">
        <v>46159</v>
      </c>
      <c r="C370" s="453">
        <v>46159.416666666664</v>
      </c>
      <c r="D370" s="453">
        <v>46159.625</v>
      </c>
      <c r="E370" s="453">
        <v>46159.708333333336</v>
      </c>
      <c r="F370" s="453">
        <v>46159.75</v>
      </c>
      <c r="G370" s="453">
        <v>46159.916666666664</v>
      </c>
      <c r="H370" t="s">
        <v>288</v>
      </c>
      <c r="I370" t="s">
        <v>46</v>
      </c>
      <c r="J370" t="s">
        <v>12</v>
      </c>
      <c r="M370" t="s">
        <v>14</v>
      </c>
      <c r="N370">
        <v>0</v>
      </c>
      <c r="O370">
        <v>0</v>
      </c>
      <c r="P370">
        <v>0</v>
      </c>
      <c r="Q370">
        <v>0</v>
      </c>
      <c r="R370">
        <v>0</v>
      </c>
      <c r="S370" s="453">
        <v>45827.022916666669</v>
      </c>
      <c r="T370" t="s">
        <v>41</v>
      </c>
      <c r="U370" t="s">
        <v>445</v>
      </c>
      <c r="V370" t="s">
        <v>607</v>
      </c>
    </row>
    <row r="371" spans="1:22">
      <c r="A371">
        <v>37</v>
      </c>
      <c r="B371" s="111">
        <v>46159</v>
      </c>
      <c r="C371" s="453">
        <v>46159.416666666664</v>
      </c>
      <c r="D371" s="453">
        <v>46159.625</v>
      </c>
      <c r="E371" s="453">
        <v>46159.708333333336</v>
      </c>
      <c r="F371" s="453">
        <v>46159.75</v>
      </c>
      <c r="G371" s="453">
        <v>46159.916666666664</v>
      </c>
      <c r="H371" t="s">
        <v>372</v>
      </c>
      <c r="I371" t="s">
        <v>52</v>
      </c>
      <c r="J371" t="s">
        <v>15</v>
      </c>
      <c r="M371" t="s">
        <v>108</v>
      </c>
      <c r="N371">
        <v>0</v>
      </c>
      <c r="O371">
        <v>0</v>
      </c>
      <c r="P371">
        <v>0</v>
      </c>
      <c r="Q371">
        <v>0</v>
      </c>
      <c r="R371">
        <v>0</v>
      </c>
      <c r="S371" s="453">
        <v>45827.022916666669</v>
      </c>
      <c r="T371" t="s">
        <v>41</v>
      </c>
      <c r="U371" t="s">
        <v>445</v>
      </c>
      <c r="V371" t="s">
        <v>607</v>
      </c>
    </row>
    <row r="372" spans="1:22">
      <c r="A372">
        <v>38</v>
      </c>
      <c r="B372" s="111">
        <v>46166</v>
      </c>
      <c r="C372" s="453">
        <v>46166.458333333336</v>
      </c>
      <c r="D372" s="453">
        <v>46166.666666666664</v>
      </c>
      <c r="E372" s="453">
        <v>46166.75</v>
      </c>
      <c r="F372" s="453">
        <v>46166.791666666664</v>
      </c>
      <c r="G372" s="453">
        <v>46166.958333333336</v>
      </c>
      <c r="H372" t="s">
        <v>225</v>
      </c>
      <c r="I372" t="s">
        <v>217</v>
      </c>
      <c r="J372" t="s">
        <v>4</v>
      </c>
      <c r="M372" t="s">
        <v>11</v>
      </c>
      <c r="N372">
        <v>0</v>
      </c>
      <c r="O372">
        <v>0</v>
      </c>
      <c r="P372">
        <v>0</v>
      </c>
      <c r="Q372">
        <v>0</v>
      </c>
      <c r="R372">
        <v>0</v>
      </c>
      <c r="S372" s="453">
        <v>45827.022916666669</v>
      </c>
      <c r="T372" t="s">
        <v>41</v>
      </c>
      <c r="U372" t="s">
        <v>445</v>
      </c>
      <c r="V372" t="s">
        <v>607</v>
      </c>
    </row>
    <row r="373" spans="1:22">
      <c r="A373">
        <v>38</v>
      </c>
      <c r="B373" s="111">
        <v>46166</v>
      </c>
      <c r="C373" s="453">
        <v>46166.458333333336</v>
      </c>
      <c r="D373" s="453">
        <v>46166.666666666664</v>
      </c>
      <c r="E373" s="453">
        <v>46166.75</v>
      </c>
      <c r="F373" s="453">
        <v>46166.791666666664</v>
      </c>
      <c r="G373" s="453">
        <v>46166.958333333336</v>
      </c>
      <c r="H373" t="s">
        <v>512</v>
      </c>
      <c r="I373" t="s">
        <v>451</v>
      </c>
      <c r="J373" t="s">
        <v>5</v>
      </c>
      <c r="M373" t="s">
        <v>15</v>
      </c>
      <c r="N373">
        <v>0</v>
      </c>
      <c r="O373">
        <v>0</v>
      </c>
      <c r="P373">
        <v>0</v>
      </c>
      <c r="Q373">
        <v>0</v>
      </c>
      <c r="R373">
        <v>0</v>
      </c>
      <c r="S373" s="453">
        <v>45827.022916666669</v>
      </c>
      <c r="T373" t="s">
        <v>41</v>
      </c>
      <c r="U373" t="s">
        <v>445</v>
      </c>
      <c r="V373" t="s">
        <v>607</v>
      </c>
    </row>
    <row r="374" spans="1:22">
      <c r="A374">
        <v>38</v>
      </c>
      <c r="B374" s="111">
        <v>46166</v>
      </c>
      <c r="C374" s="453">
        <v>46166.458333333336</v>
      </c>
      <c r="D374" s="453">
        <v>46166.666666666664</v>
      </c>
      <c r="E374" s="453">
        <v>46166.75</v>
      </c>
      <c r="F374" s="453">
        <v>46166.791666666664</v>
      </c>
      <c r="G374" s="453">
        <v>46166.958333333336</v>
      </c>
      <c r="H374" t="s">
        <v>145</v>
      </c>
      <c r="I374" t="s">
        <v>44</v>
      </c>
      <c r="J374" t="s">
        <v>7</v>
      </c>
      <c r="M374" t="s">
        <v>1</v>
      </c>
      <c r="N374">
        <v>0</v>
      </c>
      <c r="O374">
        <v>0</v>
      </c>
      <c r="P374">
        <v>0</v>
      </c>
      <c r="Q374">
        <v>0</v>
      </c>
      <c r="R374">
        <v>0</v>
      </c>
      <c r="S374" s="453">
        <v>45827.022916666669</v>
      </c>
      <c r="T374" t="s">
        <v>41</v>
      </c>
      <c r="U374" t="s">
        <v>445</v>
      </c>
      <c r="V374" t="s">
        <v>607</v>
      </c>
    </row>
    <row r="375" spans="1:22">
      <c r="A375">
        <v>38</v>
      </c>
      <c r="B375" s="111">
        <v>46166</v>
      </c>
      <c r="C375" s="453">
        <v>46166.458333333336</v>
      </c>
      <c r="D375" s="453">
        <v>46166.666666666664</v>
      </c>
      <c r="E375" s="453">
        <v>46166.75</v>
      </c>
      <c r="F375" s="453">
        <v>46166.791666666664</v>
      </c>
      <c r="G375" s="453">
        <v>46166.958333333336</v>
      </c>
      <c r="H375" t="s">
        <v>244</v>
      </c>
      <c r="I375" t="s">
        <v>157</v>
      </c>
      <c r="J375" t="s">
        <v>108</v>
      </c>
      <c r="M375" t="s">
        <v>12</v>
      </c>
      <c r="N375">
        <v>0</v>
      </c>
      <c r="O375">
        <v>0</v>
      </c>
      <c r="P375">
        <v>0</v>
      </c>
      <c r="Q375">
        <v>0</v>
      </c>
      <c r="R375">
        <v>0</v>
      </c>
      <c r="S375" s="453">
        <v>45827.022916666669</v>
      </c>
      <c r="T375" t="s">
        <v>41</v>
      </c>
      <c r="U375" t="s">
        <v>445</v>
      </c>
      <c r="V375" t="s">
        <v>607</v>
      </c>
    </row>
    <row r="376" spans="1:22">
      <c r="A376">
        <v>38</v>
      </c>
      <c r="B376" s="111">
        <v>46166</v>
      </c>
      <c r="C376" s="453">
        <v>46166.458333333336</v>
      </c>
      <c r="D376" s="453">
        <v>46166.666666666664</v>
      </c>
      <c r="E376" s="453">
        <v>46166.75</v>
      </c>
      <c r="F376" s="453">
        <v>46166.791666666664</v>
      </c>
      <c r="G376" s="453">
        <v>46166.958333333336</v>
      </c>
      <c r="H376" t="s">
        <v>135</v>
      </c>
      <c r="I376" t="s">
        <v>40</v>
      </c>
      <c r="J376" t="s">
        <v>9</v>
      </c>
      <c r="M376" t="s">
        <v>107</v>
      </c>
      <c r="N376">
        <v>0</v>
      </c>
      <c r="O376">
        <v>0</v>
      </c>
      <c r="P376">
        <v>0</v>
      </c>
      <c r="Q376">
        <v>0</v>
      </c>
      <c r="R376">
        <v>0</v>
      </c>
      <c r="S376" s="453">
        <v>45827.022916666669</v>
      </c>
      <c r="T376" t="s">
        <v>41</v>
      </c>
      <c r="U376" t="s">
        <v>445</v>
      </c>
      <c r="V376" t="s">
        <v>607</v>
      </c>
    </row>
    <row r="377" spans="1:22">
      <c r="A377">
        <v>38</v>
      </c>
      <c r="B377" s="111">
        <v>46166</v>
      </c>
      <c r="C377" s="453">
        <v>46166.458333333336</v>
      </c>
      <c r="D377" s="453">
        <v>46166.666666666664</v>
      </c>
      <c r="E377" s="453">
        <v>46166.75</v>
      </c>
      <c r="F377" s="453">
        <v>46166.791666666664</v>
      </c>
      <c r="G377" s="453">
        <v>46166.958333333336</v>
      </c>
      <c r="H377" t="s">
        <v>409</v>
      </c>
      <c r="I377" t="s">
        <v>50</v>
      </c>
      <c r="J377" t="s">
        <v>10</v>
      </c>
      <c r="M377" t="s">
        <v>2</v>
      </c>
      <c r="N377">
        <v>0</v>
      </c>
      <c r="O377">
        <v>0</v>
      </c>
      <c r="P377">
        <v>0</v>
      </c>
      <c r="Q377">
        <v>0</v>
      </c>
      <c r="R377">
        <v>0</v>
      </c>
      <c r="S377" s="453">
        <v>45827.022916666669</v>
      </c>
      <c r="T377" t="s">
        <v>41</v>
      </c>
      <c r="U377" t="s">
        <v>445</v>
      </c>
      <c r="V377" t="s">
        <v>607</v>
      </c>
    </row>
    <row r="378" spans="1:22">
      <c r="A378">
        <v>38</v>
      </c>
      <c r="B378" s="111">
        <v>46166</v>
      </c>
      <c r="C378" s="453">
        <v>46166.458333333336</v>
      </c>
      <c r="D378" s="453">
        <v>46166.666666666664</v>
      </c>
      <c r="E378" s="453">
        <v>46166.75</v>
      </c>
      <c r="F378" s="453">
        <v>46166.791666666664</v>
      </c>
      <c r="G378" s="453">
        <v>46166.958333333336</v>
      </c>
      <c r="H378" t="s">
        <v>222</v>
      </c>
      <c r="I378" t="s">
        <v>158</v>
      </c>
      <c r="J378" t="s">
        <v>188</v>
      </c>
      <c r="M378" t="s">
        <v>3</v>
      </c>
      <c r="N378">
        <v>0</v>
      </c>
      <c r="O378">
        <v>0</v>
      </c>
      <c r="P378">
        <v>0</v>
      </c>
      <c r="Q378">
        <v>0</v>
      </c>
      <c r="R378">
        <v>0</v>
      </c>
      <c r="S378" s="453">
        <v>45827.022916666669</v>
      </c>
      <c r="T378" t="s">
        <v>41</v>
      </c>
      <c r="U378" t="s">
        <v>445</v>
      </c>
      <c r="V378" t="s">
        <v>607</v>
      </c>
    </row>
    <row r="379" spans="1:22">
      <c r="A379">
        <v>38</v>
      </c>
      <c r="B379" s="111">
        <v>46166</v>
      </c>
      <c r="C379" s="453">
        <v>46166.458333333336</v>
      </c>
      <c r="D379" s="453">
        <v>46166.666666666664</v>
      </c>
      <c r="E379" s="453">
        <v>46166.75</v>
      </c>
      <c r="F379" s="453">
        <v>46166.791666666664</v>
      </c>
      <c r="G379" s="453">
        <v>46166.958333333336</v>
      </c>
      <c r="H379" t="s">
        <v>227</v>
      </c>
      <c r="I379" t="s">
        <v>45</v>
      </c>
      <c r="J379" t="s">
        <v>13</v>
      </c>
      <c r="M379" t="s">
        <v>8</v>
      </c>
      <c r="N379">
        <v>0</v>
      </c>
      <c r="O379">
        <v>0</v>
      </c>
      <c r="P379">
        <v>0</v>
      </c>
      <c r="Q379">
        <v>0</v>
      </c>
      <c r="R379">
        <v>0</v>
      </c>
      <c r="S379" s="453">
        <v>45827.022916666669</v>
      </c>
      <c r="T379" t="s">
        <v>41</v>
      </c>
      <c r="U379" t="s">
        <v>445</v>
      </c>
      <c r="V379" t="s">
        <v>607</v>
      </c>
    </row>
    <row r="380" spans="1:22">
      <c r="A380">
        <v>38</v>
      </c>
      <c r="B380" s="111">
        <v>46166</v>
      </c>
      <c r="C380" s="453">
        <v>46166.458333333336</v>
      </c>
      <c r="D380" s="453">
        <v>46166.666666666664</v>
      </c>
      <c r="E380" s="453">
        <v>46166.75</v>
      </c>
      <c r="F380" s="453">
        <v>46166.791666666664</v>
      </c>
      <c r="G380" s="453">
        <v>46166.958333333336</v>
      </c>
      <c r="H380" t="s">
        <v>513</v>
      </c>
      <c r="I380" t="s">
        <v>448</v>
      </c>
      <c r="J380" t="s">
        <v>443</v>
      </c>
      <c r="M380" t="s">
        <v>6</v>
      </c>
      <c r="N380">
        <v>0</v>
      </c>
      <c r="O380">
        <v>0</v>
      </c>
      <c r="P380">
        <v>0</v>
      </c>
      <c r="Q380">
        <v>0</v>
      </c>
      <c r="R380">
        <v>0</v>
      </c>
      <c r="S380" s="453">
        <v>45827.022916666669</v>
      </c>
      <c r="T380" t="s">
        <v>41</v>
      </c>
      <c r="U380" t="s">
        <v>445</v>
      </c>
      <c r="V380" t="s">
        <v>607</v>
      </c>
    </row>
    <row r="381" spans="1:22">
      <c r="A381">
        <v>38</v>
      </c>
      <c r="B381" s="111">
        <v>46166</v>
      </c>
      <c r="C381" s="453">
        <v>46166.458333333336</v>
      </c>
      <c r="D381" s="453">
        <v>46166.666666666664</v>
      </c>
      <c r="E381" s="453">
        <v>46166.75</v>
      </c>
      <c r="F381" s="453">
        <v>46166.791666666664</v>
      </c>
      <c r="G381" s="453">
        <v>46166.958333333336</v>
      </c>
      <c r="H381" t="s">
        <v>548</v>
      </c>
      <c r="I381" t="s">
        <v>42</v>
      </c>
      <c r="J381" t="s">
        <v>14</v>
      </c>
      <c r="M381" t="s">
        <v>444</v>
      </c>
      <c r="N381">
        <v>0</v>
      </c>
      <c r="O381">
        <v>0</v>
      </c>
      <c r="P381">
        <v>0</v>
      </c>
      <c r="Q381">
        <v>0</v>
      </c>
      <c r="R381">
        <v>0</v>
      </c>
      <c r="S381" s="453">
        <v>45827.022916666669</v>
      </c>
      <c r="T381" t="s">
        <v>41</v>
      </c>
      <c r="U381" t="s">
        <v>445</v>
      </c>
      <c r="V381" t="s">
        <v>607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975D797-89FB-4388-BB86-CCB0A987489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Dashboard</vt:lpstr>
      <vt:lpstr>League Table</vt:lpstr>
      <vt:lpstr>Deduction</vt:lpstr>
      <vt:lpstr>fixtures</vt:lpstr>
      <vt:lpstr>Fixtures_by_Clubs</vt:lpstr>
      <vt:lpstr>Fixtures_by_Date</vt:lpstr>
      <vt:lpstr>Fixtures_by_Clubs!Print_Area</vt:lpstr>
      <vt:lpstr>Fixtures_by_Date!Print_Area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excel4soccer</dc:creator>
  <cp:lastModifiedBy>Jie Tang</cp:lastModifiedBy>
  <cp:lastPrinted>2020-09-15T11:52:30Z</cp:lastPrinted>
  <dcterms:created xsi:type="dcterms:W3CDTF">2020-07-16T23:35:05Z</dcterms:created>
  <dcterms:modified xsi:type="dcterms:W3CDTF">2025-07-27T20:49:01Z</dcterms:modified>
</cp:coreProperties>
</file>